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4.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5.xml" ContentType="application/vnd.openxmlformats-officedocument.spreadsheetml.comments+xml"/>
  <Override PartName="/xl/drawings/drawing18.xml" ContentType="application/vnd.openxmlformats-officedocument.drawing+xml"/>
  <Override PartName="/xl/comments6.xml" ContentType="application/vnd.openxmlformats-officedocument.spreadsheetml.comments+xml"/>
  <Override PartName="/xl/drawings/drawing19.xml" ContentType="application/vnd.openxmlformats-officedocument.drawing+xml"/>
  <Override PartName="/xl/comments7.xml" ContentType="application/vnd.openxmlformats-officedocument.spreadsheetml.comments+xml"/>
  <Override PartName="/xl/drawings/drawing20.xml" ContentType="application/vnd.openxmlformats-officedocument.drawing+xml"/>
  <Override PartName="/xl/comments8.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52.xml" ContentType="application/vnd.openxmlformats-officedocument.drawingml.chartshapes+xml"/>
  <Override PartName="/xl/drawings/drawing5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4.xml" ContentType="application/vnd.openxmlformats-officedocument.drawingml.chartshapes+xml"/>
  <Override PartName="/xl/drawings/drawing55.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6.xml" ContentType="application/vnd.openxmlformats-officedocument.drawingml.chartshapes+xml"/>
  <Override PartName="/xl/drawings/drawing5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S:\Verksamhetsstöd\Kommunikation\Publikationer\Statistik\Bantrafik\2022\2022_24\"/>
    </mc:Choice>
  </mc:AlternateContent>
  <xr:revisionPtr revIDLastSave="0" documentId="8_{EAD3665E-73BF-49AD-B73C-BA19C7145148}" xr6:coauthVersionLast="47" xr6:coauthVersionMax="47" xr10:uidLastSave="{00000000-0000-0000-0000-000000000000}"/>
  <bookViews>
    <workbookView xWindow="28680" yWindow="-120" windowWidth="51840" windowHeight="21120" tabRatio="902" xr2:uid="{00000000-000D-0000-FFFF-FFFF00000000}"/>
  </bookViews>
  <sheets>
    <sheet name="Titel_Title" sheetId="28" r:id="rId1"/>
    <sheet name="Innehåll_Content" sheetId="69" r:id="rId2"/>
    <sheet name="Kort om statistiken" sheetId="66" r:id="rId3"/>
    <sheet name="Definitioner" sheetId="62" r:id="rId4"/>
    <sheet name="Teckenförklaring_Legends" sheetId="67" r:id="rId5"/>
    <sheet name="Huvudmän" sheetId="23" r:id="rId6"/>
    <sheet name="Tågoperatörer" sheetId="22" r:id="rId7"/>
    <sheet name="Tabell 1.1 (1)" sheetId="5" r:id="rId8"/>
    <sheet name="Tabell 1.1 (2)" sheetId="6" r:id="rId9"/>
    <sheet name="Tabell 1.1 (3)" sheetId="7" r:id="rId10"/>
    <sheet name="Tabell 1.1 (4)" sheetId="8" r:id="rId11"/>
    <sheet name="Tabell 2.1–2.2" sheetId="9" r:id="rId12"/>
    <sheet name="Tabell 2.3–2.4" sheetId="10" r:id="rId13"/>
    <sheet name="Tabell 2.5–2.6" sheetId="11" r:id="rId14"/>
    <sheet name="Tabell 2.7" sheetId="31" r:id="rId15"/>
    <sheet name="Tabell 3.1–3.3" sheetId="12" r:id="rId16"/>
    <sheet name="Tabell 3.4" sheetId="13" r:id="rId17"/>
    <sheet name="Tabell 3.5–3.7" sheetId="14" r:id="rId18"/>
    <sheet name="Tabell 4.1–4.3" sheetId="15" r:id="rId19"/>
    <sheet name="Tabell 4.4–4.6" sheetId="24" r:id="rId20"/>
    <sheet name="Tabell 4.7" sheetId="17" r:id="rId21"/>
    <sheet name="Tabell 4.8" sheetId="18" r:id="rId22"/>
    <sheet name="Tabell 4.8 (forts)" sheetId="19" r:id="rId23"/>
    <sheet name="Tabell 4.9" sheetId="59" r:id="rId24"/>
    <sheet name="Tabell 4.10" sheetId="20" r:id="rId25"/>
    <sheet name="Tabell 4.11–4.13" sheetId="30" r:id="rId26"/>
    <sheet name="Data till figurer" sheetId="33" state="hidden" r:id="rId27"/>
    <sheet name="Common questionnaire" sheetId="64" state="hidden" r:id="rId28"/>
    <sheet name="Figur 1.1" sheetId="34" r:id="rId29"/>
    <sheet name="Figur 2.1" sheetId="39" r:id="rId30"/>
    <sheet name="Figur 2.2" sheetId="40" r:id="rId31"/>
    <sheet name="Figur 3.1" sheetId="42" r:id="rId32"/>
    <sheet name="Figur 3.2" sheetId="43" r:id="rId33"/>
    <sheet name="Figur 3.3" sheetId="44" r:id="rId34"/>
    <sheet name="Figur 3.4" sheetId="45" r:id="rId35"/>
    <sheet name="Figur 4.1" sheetId="46" r:id="rId36"/>
    <sheet name="Figur 4.2" sheetId="47" r:id="rId37"/>
    <sheet name="Figur 4.3" sheetId="49" r:id="rId38"/>
    <sheet name="Figur 4.4" sheetId="48" r:id="rId39"/>
    <sheet name="Figur 4.5" sheetId="50" r:id="rId40"/>
    <sheet name="Figur 5.1" sheetId="51" r:id="rId41"/>
    <sheet name="Figur 5.2" sheetId="53" r:id="rId42"/>
    <sheet name="Figur 5.3" sheetId="54" r:id="rId43"/>
    <sheet name="Figur 6.1" sheetId="55" r:id="rId44"/>
    <sheet name="Figur 6.2" sheetId="56" r:id="rId45"/>
    <sheet name="Figur 6.3" sheetId="57" r:id="rId46"/>
  </sheets>
  <definedNames>
    <definedName name="_GoBack" localSheetId="35">'Figur 4.1'!$A$46</definedName>
    <definedName name="Print_Area" localSheetId="3">Definitioner!$A$1:$R$406</definedName>
    <definedName name="Print_Area" localSheetId="28">'Figur 1.1'!$A$1:$S$43</definedName>
    <definedName name="Print_Area" localSheetId="29">'Figur 2.1'!$A$1:$S$43</definedName>
    <definedName name="Print_Area" localSheetId="30">'Figur 2.2'!$A$1:$S$43</definedName>
    <definedName name="Print_Area" localSheetId="31">'Figur 3.1'!$A$1:$S$43</definedName>
    <definedName name="Print_Area" localSheetId="32">'Figur 3.2'!$A$1:$S$43</definedName>
    <definedName name="Print_Area" localSheetId="33">'Figur 3.3'!$A$1:$S$43</definedName>
    <definedName name="Print_Area" localSheetId="34">'Figur 3.4'!$A$1:$S$43</definedName>
    <definedName name="Print_Area" localSheetId="35">'Figur 4.1'!$A$1:$S$43</definedName>
    <definedName name="Print_Area" localSheetId="36">'Figur 4.2'!$A$1:$S$43</definedName>
    <definedName name="Print_Area" localSheetId="37">'Figur 4.3'!$A$1:$S$43</definedName>
    <definedName name="Print_Area" localSheetId="38">'Figur 4.4'!$A$1:$S$43</definedName>
    <definedName name="Print_Area" localSheetId="39">'Figur 4.5'!$A$1:$S$43</definedName>
    <definedName name="Print_Area" localSheetId="40">'Figur 5.1'!$A$1:$S$43</definedName>
    <definedName name="Print_Area" localSheetId="41">'Figur 5.2'!$A$1:$S$43</definedName>
    <definedName name="Print_Area" localSheetId="42">'Figur 5.3'!$A$1:$S$43</definedName>
    <definedName name="Print_Area" localSheetId="43">'Figur 6.1'!$A$1:$S$42</definedName>
    <definedName name="Print_Area" localSheetId="44">'Figur 6.2'!$A$1:$S$42</definedName>
    <definedName name="Print_Area" localSheetId="45">'Figur 6.3'!$A$1:$S$42</definedName>
    <definedName name="Print_Area" localSheetId="2">'Kort om statistiken'!$A$1:$U$25</definedName>
    <definedName name="Print_Area" localSheetId="9">'Tabell 1.1 (3)'!$D$2:$AD$74</definedName>
    <definedName name="Print_Area" localSheetId="10">'Tabell 1.1 (4)'!$A$2:$AJ$82</definedName>
    <definedName name="Print_Area" localSheetId="11">'Tabell 2.1–2.2'!$A$1:$AY$96</definedName>
    <definedName name="Print_Area" localSheetId="12">'Tabell 2.3–2.4'!$A$1:$AX$77</definedName>
    <definedName name="Print_Area" localSheetId="25">'Tabell 4.11–4.13'!$A$2:$AX$97</definedName>
    <definedName name="Print_Area" localSheetId="18">'Tabell 4.1–4.3'!$A$2:$AX$89</definedName>
    <definedName name="_xlnm.Print_Area" localSheetId="3">Definitioner!$A$1:$S$408</definedName>
    <definedName name="_xlnm.Print_Area" localSheetId="35">'Figur 4.1'!$A$1:$S$49</definedName>
    <definedName name="_xlnm.Print_Area" localSheetId="38">'Figur 4.4'!$A$1:$U$47</definedName>
    <definedName name="_xlnm.Print_Area" localSheetId="5">Huvudmän!$A$1:$AF$69</definedName>
    <definedName name="_xlnm.Print_Area" localSheetId="1">Innehåll_Content!$A$1:$D$42</definedName>
    <definedName name="_xlnm.Print_Area" localSheetId="2">'Kort om statistiken'!$A$1:$S$22</definedName>
    <definedName name="_xlnm.Print_Area" localSheetId="7">'Tabell 1.1 (1)'!$A$1:$AD$76</definedName>
    <definedName name="_xlnm.Print_Area" localSheetId="8">'Tabell 1.1 (2)'!$A$1:$AD$79</definedName>
    <definedName name="_xlnm.Print_Area" localSheetId="9">'Tabell 1.1 (3)'!$A$1:$AD$78</definedName>
    <definedName name="_xlnm.Print_Area" localSheetId="10">'Tabell 1.1 (4)'!$A$1:$AK$92</definedName>
    <definedName name="_xlnm.Print_Area" localSheetId="11">'Tabell 2.1–2.2'!$B$1:$AX$98</definedName>
    <definedName name="_xlnm.Print_Area" localSheetId="12">'Tabell 2.3–2.4'!$B$1:$AX$74</definedName>
    <definedName name="_xlnm.Print_Area" localSheetId="13">'Tabell 2.5–2.6'!$A$1:$AX$71</definedName>
    <definedName name="_xlnm.Print_Area" localSheetId="14">'Tabell 2.7'!$A$1:$ER$41</definedName>
    <definedName name="_xlnm.Print_Area" localSheetId="15">'Tabell 3.1–3.3'!$B$1:$AX$96</definedName>
    <definedName name="_xlnm.Print_Area" localSheetId="16">'Tabell 3.4'!$A$1:$AX$67</definedName>
    <definedName name="_xlnm.Print_Area" localSheetId="17">'Tabell 3.5–3.7'!$B$1:$AX$77</definedName>
    <definedName name="_xlnm.Print_Area" localSheetId="24">'Tabell 4.10'!$B$1:$AT$73</definedName>
    <definedName name="_xlnm.Print_Area" localSheetId="25">'Tabell 4.11–4.13'!$A$1:$AX$90</definedName>
    <definedName name="_xlnm.Print_Area" localSheetId="18">'Tabell 4.1–4.3'!$A$1:$AX$86</definedName>
    <definedName name="_xlnm.Print_Area" localSheetId="19">'Tabell 4.4–4.6'!$A$1:$AX$60</definedName>
    <definedName name="_xlnm.Print_Area" localSheetId="20">'Tabell 4.7'!$A$1:$AX$71</definedName>
    <definedName name="_xlnm.Print_Area" localSheetId="21">'Tabell 4.8'!$B$1:$AT$54</definedName>
    <definedName name="_xlnm.Print_Area" localSheetId="22">'Tabell 4.8 (forts)'!$B$1:$AT$54</definedName>
    <definedName name="_xlnm.Print_Area" localSheetId="23">'Tabell 4.9'!$A$1:$AY$33</definedName>
    <definedName name="_xlnm.Print_Area" localSheetId="4">Teckenförklaring_Legends!$A$1:$C$12</definedName>
    <definedName name="_xlnm.Print_Area" localSheetId="0">Titel_Title!$A$1:$N$43</definedName>
    <definedName name="_xlnm.Print_Area" localSheetId="6">Tågoperatörer!$A$1:$Y$52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69" l="1"/>
  <c r="AU71" i="12"/>
  <c r="AS71" i="12"/>
  <c r="AQ71" i="12"/>
  <c r="AO71" i="12"/>
  <c r="AM71" i="12"/>
  <c r="AK71" i="12"/>
  <c r="AC58" i="6" l="1"/>
  <c r="Z58" i="6"/>
  <c r="W58" i="6"/>
  <c r="AC56" i="6"/>
  <c r="Z56" i="6"/>
  <c r="W56" i="6"/>
  <c r="H35" i="33" l="1"/>
  <c r="G35" i="33"/>
  <c r="C35" i="33"/>
  <c r="B35" i="33"/>
  <c r="D35" i="33" s="1"/>
  <c r="BX35" i="33" l="1"/>
  <c r="BX34" i="33"/>
  <c r="BS35" i="33"/>
  <c r="BS34" i="33"/>
  <c r="BJ35" i="33" l="1"/>
  <c r="BJ34" i="33"/>
  <c r="BH35" i="33"/>
  <c r="BB35" i="33"/>
  <c r="BC35" i="33" s="1"/>
  <c r="AZ35" i="33"/>
  <c r="AY35" i="33" l="1"/>
  <c r="AX35" i="33"/>
  <c r="BE35" i="33"/>
  <c r="BF35" i="33" s="1"/>
  <c r="AV35" i="33"/>
  <c r="AU35" i="33"/>
  <c r="AR35" i="33"/>
  <c r="AO35" i="33"/>
  <c r="AN35" i="33"/>
  <c r="AM35" i="33"/>
  <c r="AL35" i="33"/>
  <c r="AJ35" i="33"/>
  <c r="AI35" i="33"/>
  <c r="AG35" i="33"/>
  <c r="BN35" i="33" s="1"/>
  <c r="AF35" i="33"/>
  <c r="AS35" i="33"/>
  <c r="AD35" i="33"/>
  <c r="AC35" i="33"/>
  <c r="AA35" i="33"/>
  <c r="Z35" i="33"/>
  <c r="X35" i="33"/>
  <c r="V35" i="33"/>
  <c r="U35" i="33"/>
  <c r="S35" i="33"/>
  <c r="P35" i="33"/>
  <c r="M34" i="33"/>
  <c r="M35" i="33"/>
  <c r="K35" i="33"/>
  <c r="J35" i="33"/>
  <c r="AP35" i="33" l="1"/>
  <c r="W57" i="8"/>
  <c r="Q35" i="33" l="1"/>
  <c r="N35" i="33" l="1"/>
  <c r="C5" i="69" l="1"/>
  <c r="A5" i="69"/>
  <c r="B38" i="69" l="1"/>
  <c r="B37" i="69"/>
  <c r="B36" i="69"/>
  <c r="A38" i="69"/>
  <c r="A37" i="69"/>
  <c r="A36" i="69"/>
  <c r="C38" i="69"/>
  <c r="C37" i="69"/>
  <c r="C36" i="69"/>
  <c r="D38" i="69"/>
  <c r="D37" i="69"/>
  <c r="D36" i="69"/>
  <c r="D35" i="69"/>
  <c r="C35" i="69"/>
  <c r="B35" i="69"/>
  <c r="A35" i="69"/>
  <c r="AC174" i="64" l="1"/>
  <c r="AC173" i="64"/>
  <c r="AC172" i="64"/>
  <c r="AC171" i="64"/>
  <c r="AC170" i="64"/>
  <c r="AC168" i="64"/>
  <c r="AC167" i="64"/>
  <c r="AC166" i="64"/>
  <c r="AC165" i="64"/>
  <c r="AC164" i="64"/>
  <c r="AC162" i="64"/>
  <c r="AC161" i="64"/>
  <c r="AC160" i="64"/>
  <c r="AC158" i="64"/>
  <c r="AC154" i="64"/>
  <c r="AC153" i="64"/>
  <c r="AC152" i="64"/>
  <c r="AC150" i="64"/>
  <c r="AC146" i="64"/>
  <c r="AC145" i="64"/>
  <c r="AC144" i="64"/>
  <c r="AC140" i="64"/>
  <c r="AC139" i="64"/>
  <c r="AC138" i="64"/>
  <c r="AC134" i="64"/>
  <c r="AC133" i="64"/>
  <c r="AC132" i="64"/>
  <c r="AC128" i="64"/>
  <c r="AC127" i="64"/>
  <c r="AC123" i="64"/>
  <c r="AC122" i="64"/>
  <c r="AC121" i="64"/>
  <c r="AC120" i="64"/>
  <c r="AC119" i="64"/>
  <c r="AC118" i="64"/>
  <c r="AC117" i="64"/>
  <c r="AC116" i="64"/>
  <c r="AC112" i="64"/>
  <c r="AC111" i="64"/>
  <c r="AC110" i="64"/>
  <c r="AC106" i="64"/>
  <c r="AC105" i="64"/>
  <c r="AC104" i="64"/>
  <c r="AC103" i="64"/>
  <c r="AC102" i="64"/>
  <c r="AC98" i="64"/>
  <c r="AC97" i="64"/>
  <c r="AC90" i="64"/>
  <c r="AC89" i="64"/>
  <c r="AC88" i="64"/>
  <c r="AC87" i="64"/>
  <c r="AC86" i="64"/>
  <c r="AC85" i="64"/>
  <c r="AC84" i="64"/>
  <c r="AC82" i="64"/>
  <c r="AC77" i="64"/>
  <c r="AC75" i="64"/>
  <c r="AC74" i="64"/>
  <c r="AC73" i="64"/>
  <c r="AC72" i="64"/>
  <c r="AC71" i="64"/>
  <c r="AC70" i="64"/>
  <c r="AC69" i="64"/>
  <c r="AC68" i="64"/>
  <c r="AC67" i="64"/>
  <c r="AC66" i="64"/>
  <c r="AC65" i="64"/>
  <c r="AC64" i="64"/>
  <c r="AC52" i="64"/>
  <c r="AC51" i="64"/>
  <c r="AC50" i="64"/>
  <c r="AC46" i="64"/>
  <c r="AC45" i="64"/>
  <c r="AC44" i="64"/>
  <c r="AC40" i="64"/>
  <c r="AC39" i="64"/>
  <c r="AC38" i="64"/>
  <c r="AC37" i="64"/>
  <c r="AC35" i="64"/>
  <c r="AC33" i="64"/>
  <c r="AC29" i="64"/>
  <c r="AC28" i="64"/>
  <c r="AC27" i="64"/>
  <c r="AC25" i="64"/>
  <c r="AC24" i="64"/>
  <c r="AC22" i="64"/>
  <c r="AC20" i="64"/>
  <c r="AC19" i="64"/>
  <c r="AC18" i="64"/>
  <c r="AC16" i="64"/>
  <c r="AC15" i="64"/>
  <c r="AC14" i="64"/>
  <c r="AC12" i="64"/>
  <c r="AC8" i="64"/>
  <c r="AC7" i="64"/>
  <c r="AC6" i="64"/>
  <c r="Y169" i="64" l="1"/>
  <c r="AC169" i="64" s="1"/>
  <c r="Y163" i="64"/>
  <c r="AC163" i="64" s="1"/>
  <c r="Y159" i="64"/>
  <c r="AC159" i="64" s="1"/>
  <c r="Y157" i="64"/>
  <c r="AC157" i="64" s="1"/>
  <c r="Y156" i="64"/>
  <c r="AC156" i="64" s="1"/>
  <c r="Y155" i="64"/>
  <c r="AC155" i="64" s="1"/>
  <c r="Y151" i="64"/>
  <c r="AC151" i="64" s="1"/>
  <c r="Y149" i="64"/>
  <c r="AC149" i="64" s="1"/>
  <c r="Y148" i="64"/>
  <c r="AC148" i="64" s="1"/>
  <c r="Y147" i="64"/>
  <c r="AC147" i="64" s="1"/>
  <c r="Y143" i="64"/>
  <c r="AC143" i="64" s="1"/>
  <c r="Y142" i="64"/>
  <c r="AC142" i="64" s="1"/>
  <c r="Y141" i="64"/>
  <c r="AC141" i="64" s="1"/>
  <c r="Y137" i="64"/>
  <c r="AC137" i="64" s="1"/>
  <c r="Y136" i="64"/>
  <c r="AC136" i="64" s="1"/>
  <c r="Y135" i="64"/>
  <c r="AC135" i="64" s="1"/>
  <c r="Y131" i="64"/>
  <c r="AC131" i="64" s="1"/>
  <c r="Y130" i="64"/>
  <c r="AC130" i="64" s="1"/>
  <c r="Y129" i="64"/>
  <c r="AC129" i="64" s="1"/>
  <c r="Y126" i="64"/>
  <c r="AC126" i="64" s="1"/>
  <c r="Y125" i="64"/>
  <c r="AC125" i="64" s="1"/>
  <c r="Y124" i="64"/>
  <c r="AC124" i="64" s="1"/>
  <c r="Y115" i="64"/>
  <c r="AC115" i="64" s="1"/>
  <c r="Y114" i="64"/>
  <c r="AC114" i="64" s="1"/>
  <c r="Y113" i="64"/>
  <c r="AC113" i="64" s="1"/>
  <c r="Y109" i="64"/>
  <c r="AC109" i="64" s="1"/>
  <c r="Y108" i="64"/>
  <c r="AC108" i="64" s="1"/>
  <c r="Y107" i="64"/>
  <c r="AC107" i="64" s="1"/>
  <c r="Y101" i="64"/>
  <c r="AC101" i="64" s="1"/>
  <c r="Y100" i="64"/>
  <c r="AC100" i="64" s="1"/>
  <c r="Y99" i="64"/>
  <c r="AC99" i="64" s="1"/>
  <c r="Y96" i="64"/>
  <c r="AC96" i="64" s="1"/>
  <c r="Y95" i="64"/>
  <c r="AC95" i="64" s="1"/>
  <c r="Y94" i="64"/>
  <c r="AC94" i="64" s="1"/>
  <c r="Y93" i="64"/>
  <c r="AC93" i="64" s="1"/>
  <c r="Y92" i="64"/>
  <c r="AC92" i="64" s="1"/>
  <c r="Y91" i="64"/>
  <c r="AC91" i="64" s="1"/>
  <c r="Y83" i="64"/>
  <c r="AC83" i="64" s="1"/>
  <c r="Y81" i="64"/>
  <c r="AC81" i="64" s="1"/>
  <c r="Y80" i="64"/>
  <c r="AC80" i="64" s="1"/>
  <c r="Y79" i="64"/>
  <c r="AC79" i="64" s="1"/>
  <c r="Y78" i="64"/>
  <c r="AC78" i="64" s="1"/>
  <c r="Y76" i="64"/>
  <c r="AC76" i="64" s="1"/>
  <c r="Y63" i="64"/>
  <c r="AC63" i="64" s="1"/>
  <c r="Y62" i="64"/>
  <c r="AC62" i="64" s="1"/>
  <c r="Y61" i="64"/>
  <c r="AC61" i="64" s="1"/>
  <c r="Y60" i="64"/>
  <c r="AC60" i="64" s="1"/>
  <c r="Y59" i="64"/>
  <c r="AC59" i="64" s="1"/>
  <c r="Y58" i="64"/>
  <c r="AC58" i="64" s="1"/>
  <c r="Y57" i="64"/>
  <c r="AC57" i="64" s="1"/>
  <c r="Y56" i="64"/>
  <c r="AC56" i="64" s="1"/>
  <c r="Y55" i="64"/>
  <c r="AC55" i="64" s="1"/>
  <c r="Y54" i="64"/>
  <c r="AC54" i="64" s="1"/>
  <c r="Y53" i="64"/>
  <c r="AC53" i="64" s="1"/>
  <c r="Y49" i="64"/>
  <c r="AC49" i="64" s="1"/>
  <c r="Y48" i="64"/>
  <c r="AC48" i="64" s="1"/>
  <c r="Y47" i="64"/>
  <c r="AC47" i="64" s="1"/>
  <c r="Y43" i="64"/>
  <c r="AC43" i="64" s="1"/>
  <c r="Y42" i="64"/>
  <c r="AC42" i="64" s="1"/>
  <c r="Y41" i="64"/>
  <c r="AC41" i="64" s="1"/>
  <c r="Y36" i="64"/>
  <c r="AC36" i="64" s="1"/>
  <c r="Y34" i="64"/>
  <c r="AC34" i="64" s="1"/>
  <c r="Y32" i="64"/>
  <c r="AC32" i="64" s="1"/>
  <c r="Y31" i="64"/>
  <c r="AC31" i="64" s="1"/>
  <c r="Y30" i="64"/>
  <c r="AC30" i="64" s="1"/>
  <c r="Y26" i="64"/>
  <c r="AC26" i="64" s="1"/>
  <c r="Y23" i="64"/>
  <c r="AC23" i="64" s="1"/>
  <c r="Y21" i="64"/>
  <c r="AC21" i="64" s="1"/>
  <c r="Y17" i="64"/>
  <c r="AC17" i="64" s="1"/>
  <c r="Y13" i="64"/>
  <c r="AC13" i="64" s="1"/>
  <c r="Y11" i="64"/>
  <c r="AC11" i="64" s="1"/>
  <c r="Y10" i="64"/>
  <c r="AC10" i="64" s="1"/>
  <c r="Y9" i="64"/>
  <c r="AC9" i="64" s="1"/>
  <c r="Y5" i="64"/>
  <c r="AC5" i="64" s="1"/>
  <c r="Y4" i="64"/>
  <c r="AC4" i="64" s="1"/>
  <c r="Y2" i="64"/>
  <c r="AC2" i="64" s="1"/>
  <c r="W169" i="64"/>
  <c r="U169" i="64"/>
  <c r="S169" i="64"/>
  <c r="Q169" i="64"/>
  <c r="O169" i="64"/>
  <c r="M169" i="64"/>
  <c r="K169" i="64"/>
  <c r="I169" i="64"/>
  <c r="G169" i="64"/>
  <c r="E169" i="64"/>
  <c r="W163" i="64"/>
  <c r="U163" i="64"/>
  <c r="S163" i="64"/>
  <c r="Q163" i="64"/>
  <c r="O163" i="64"/>
  <c r="M163" i="64"/>
  <c r="K163" i="64"/>
  <c r="I163" i="64"/>
  <c r="G163" i="64"/>
  <c r="E163" i="64"/>
  <c r="W159" i="64"/>
  <c r="U159" i="64"/>
  <c r="S159" i="64"/>
  <c r="Q159" i="64"/>
  <c r="O159" i="64"/>
  <c r="M159" i="64"/>
  <c r="K159" i="64"/>
  <c r="I159" i="64"/>
  <c r="G159" i="64"/>
  <c r="E159" i="64"/>
  <c r="W157" i="64"/>
  <c r="U157" i="64"/>
  <c r="S157" i="64"/>
  <c r="Q157" i="64"/>
  <c r="O157" i="64"/>
  <c r="M157" i="64"/>
  <c r="K157" i="64"/>
  <c r="I157" i="64"/>
  <c r="G157" i="64"/>
  <c r="E157" i="64"/>
  <c r="W156" i="64"/>
  <c r="U156" i="64"/>
  <c r="S156" i="64"/>
  <c r="Q156" i="64"/>
  <c r="O156" i="64"/>
  <c r="M156" i="64"/>
  <c r="K156" i="64"/>
  <c r="I156" i="64"/>
  <c r="G156" i="64"/>
  <c r="E156" i="64"/>
  <c r="W155" i="64"/>
  <c r="U155" i="64"/>
  <c r="S155" i="64"/>
  <c r="Q155" i="64"/>
  <c r="O155" i="64"/>
  <c r="M155" i="64"/>
  <c r="K155" i="64"/>
  <c r="I155" i="64"/>
  <c r="G155" i="64"/>
  <c r="E155" i="64"/>
  <c r="W151" i="64"/>
  <c r="U151" i="64"/>
  <c r="S151" i="64"/>
  <c r="Q151" i="64"/>
  <c r="O151" i="64"/>
  <c r="M151" i="64"/>
  <c r="K151" i="64"/>
  <c r="I151" i="64"/>
  <c r="G151" i="64"/>
  <c r="E151" i="64"/>
  <c r="W149" i="64"/>
  <c r="U149" i="64"/>
  <c r="S149" i="64"/>
  <c r="Q149" i="64"/>
  <c r="O149" i="64"/>
  <c r="M149" i="64"/>
  <c r="K149" i="64"/>
  <c r="I149" i="64"/>
  <c r="G149" i="64"/>
  <c r="E149" i="64"/>
  <c r="W148" i="64"/>
  <c r="U148" i="64"/>
  <c r="S148" i="64"/>
  <c r="Q148" i="64"/>
  <c r="O148" i="64"/>
  <c r="M148" i="64"/>
  <c r="K148" i="64"/>
  <c r="I148" i="64"/>
  <c r="G148" i="64"/>
  <c r="E148" i="64"/>
  <c r="W147" i="64"/>
  <c r="U147" i="64"/>
  <c r="S147" i="64"/>
  <c r="Q147" i="64"/>
  <c r="O147" i="64"/>
  <c r="M147" i="64"/>
  <c r="K147" i="64"/>
  <c r="I147" i="64"/>
  <c r="G147" i="64"/>
  <c r="E147" i="64"/>
  <c r="M146" i="64"/>
  <c r="K146" i="64"/>
  <c r="I146" i="64"/>
  <c r="G146" i="64"/>
  <c r="E146" i="64"/>
  <c r="M144" i="64"/>
  <c r="K144" i="64"/>
  <c r="I144" i="64"/>
  <c r="G144" i="64"/>
  <c r="E144" i="64"/>
  <c r="W143" i="64"/>
  <c r="U143" i="64"/>
  <c r="S143" i="64"/>
  <c r="Q143" i="64"/>
  <c r="O143" i="64"/>
  <c r="M143" i="64"/>
  <c r="K143" i="64"/>
  <c r="I143" i="64"/>
  <c r="G143" i="64"/>
  <c r="E143" i="64"/>
  <c r="W142" i="64"/>
  <c r="U142" i="64"/>
  <c r="S142" i="64"/>
  <c r="Q142" i="64"/>
  <c r="O142" i="64"/>
  <c r="M142" i="64"/>
  <c r="K142" i="64"/>
  <c r="I142" i="64"/>
  <c r="G142" i="64"/>
  <c r="E142" i="64"/>
  <c r="W141" i="64"/>
  <c r="U141" i="64"/>
  <c r="S141" i="64"/>
  <c r="Q141" i="64"/>
  <c r="O141" i="64"/>
  <c r="M141" i="64"/>
  <c r="K141" i="64"/>
  <c r="I141" i="64"/>
  <c r="G141" i="64"/>
  <c r="E141" i="64"/>
  <c r="M140" i="64"/>
  <c r="K140" i="64"/>
  <c r="I140" i="64"/>
  <c r="G140" i="64"/>
  <c r="E140" i="64"/>
  <c r="M138" i="64"/>
  <c r="K138" i="64"/>
  <c r="I138" i="64"/>
  <c r="G138" i="64"/>
  <c r="E138" i="64"/>
  <c r="W137" i="64"/>
  <c r="U137" i="64"/>
  <c r="S137" i="64"/>
  <c r="Q137" i="64"/>
  <c r="O137" i="64"/>
  <c r="M137" i="64"/>
  <c r="K137" i="64"/>
  <c r="I137" i="64"/>
  <c r="G137" i="64"/>
  <c r="E137" i="64"/>
  <c r="W136" i="64"/>
  <c r="U136" i="64"/>
  <c r="S136" i="64"/>
  <c r="Q136" i="64"/>
  <c r="O136" i="64"/>
  <c r="M136" i="64"/>
  <c r="K136" i="64"/>
  <c r="I136" i="64"/>
  <c r="G136" i="64"/>
  <c r="E136" i="64"/>
  <c r="W135" i="64"/>
  <c r="U135" i="64"/>
  <c r="S135" i="64"/>
  <c r="Q135" i="64"/>
  <c r="O135" i="64"/>
  <c r="M135" i="64"/>
  <c r="K135" i="64"/>
  <c r="I135" i="64"/>
  <c r="G135" i="64"/>
  <c r="E135" i="64"/>
  <c r="W131" i="64"/>
  <c r="U131" i="64"/>
  <c r="S131" i="64"/>
  <c r="Q131" i="64"/>
  <c r="O131" i="64"/>
  <c r="M131" i="64"/>
  <c r="K131" i="64"/>
  <c r="I131" i="64"/>
  <c r="G131" i="64"/>
  <c r="E131" i="64"/>
  <c r="W130" i="64"/>
  <c r="U130" i="64"/>
  <c r="S130" i="64"/>
  <c r="Q130" i="64"/>
  <c r="O130" i="64"/>
  <c r="M130" i="64"/>
  <c r="K130" i="64"/>
  <c r="I130" i="64"/>
  <c r="G130" i="64"/>
  <c r="E130" i="64"/>
  <c r="W129" i="64"/>
  <c r="U129" i="64"/>
  <c r="S129" i="64"/>
  <c r="Q129" i="64"/>
  <c r="O129" i="64"/>
  <c r="M129" i="64"/>
  <c r="K129" i="64"/>
  <c r="I129" i="64"/>
  <c r="G129" i="64"/>
  <c r="E129" i="64"/>
  <c r="W126" i="64"/>
  <c r="U126" i="64"/>
  <c r="S126" i="64"/>
  <c r="Q126" i="64"/>
  <c r="O126" i="64"/>
  <c r="M126" i="64"/>
  <c r="K126" i="64"/>
  <c r="I126" i="64"/>
  <c r="G126" i="64"/>
  <c r="E126" i="64"/>
  <c r="W125" i="64"/>
  <c r="U125" i="64"/>
  <c r="S125" i="64"/>
  <c r="Q125" i="64"/>
  <c r="O125" i="64"/>
  <c r="M125" i="64"/>
  <c r="K125" i="64"/>
  <c r="I125" i="64"/>
  <c r="G125" i="64"/>
  <c r="E125" i="64"/>
  <c r="W124" i="64"/>
  <c r="U124" i="64"/>
  <c r="S124" i="64"/>
  <c r="Q124" i="64"/>
  <c r="O124" i="64"/>
  <c r="M124" i="64"/>
  <c r="K124" i="64"/>
  <c r="I124" i="64"/>
  <c r="G124" i="64"/>
  <c r="E124" i="64"/>
  <c r="W115" i="64"/>
  <c r="U115" i="64"/>
  <c r="S115" i="64"/>
  <c r="Q115" i="64"/>
  <c r="O115" i="64"/>
  <c r="M115" i="64"/>
  <c r="K115" i="64"/>
  <c r="I115" i="64"/>
  <c r="G115" i="64"/>
  <c r="E115" i="64"/>
  <c r="W114" i="64"/>
  <c r="U114" i="64"/>
  <c r="S114" i="64"/>
  <c r="Q114" i="64"/>
  <c r="O114" i="64"/>
  <c r="M114" i="64"/>
  <c r="K114" i="64"/>
  <c r="I114" i="64"/>
  <c r="G114" i="64"/>
  <c r="E114" i="64"/>
  <c r="W113" i="64"/>
  <c r="U113" i="64"/>
  <c r="S113" i="64"/>
  <c r="Q113" i="64"/>
  <c r="O113" i="64"/>
  <c r="M113" i="64"/>
  <c r="K113" i="64"/>
  <c r="I113" i="64"/>
  <c r="G113" i="64"/>
  <c r="E113" i="64"/>
  <c r="W109" i="64"/>
  <c r="U109" i="64"/>
  <c r="S109" i="64"/>
  <c r="Q109" i="64"/>
  <c r="O109" i="64"/>
  <c r="M109" i="64"/>
  <c r="K109" i="64"/>
  <c r="I109" i="64"/>
  <c r="G109" i="64"/>
  <c r="E109" i="64"/>
  <c r="W108" i="64"/>
  <c r="U108" i="64"/>
  <c r="S108" i="64"/>
  <c r="Q108" i="64"/>
  <c r="O108" i="64"/>
  <c r="M108" i="64"/>
  <c r="K108" i="64"/>
  <c r="I108" i="64"/>
  <c r="G108" i="64"/>
  <c r="E108" i="64"/>
  <c r="W107" i="64"/>
  <c r="U107" i="64"/>
  <c r="S107" i="64"/>
  <c r="Q107" i="64"/>
  <c r="O107" i="64"/>
  <c r="M107" i="64"/>
  <c r="K107" i="64"/>
  <c r="I107" i="64"/>
  <c r="G107" i="64"/>
  <c r="E107" i="64"/>
  <c r="W101" i="64"/>
  <c r="U101" i="64"/>
  <c r="S101" i="64"/>
  <c r="Q101" i="64"/>
  <c r="O101" i="64"/>
  <c r="M101" i="64"/>
  <c r="K101" i="64"/>
  <c r="I101" i="64"/>
  <c r="G101" i="64"/>
  <c r="E101" i="64"/>
  <c r="W100" i="64"/>
  <c r="U100" i="64"/>
  <c r="S100" i="64"/>
  <c r="Q100" i="64"/>
  <c r="O100" i="64"/>
  <c r="M100" i="64"/>
  <c r="K100" i="64"/>
  <c r="I100" i="64"/>
  <c r="G100" i="64"/>
  <c r="E100" i="64"/>
  <c r="W99" i="64"/>
  <c r="U99" i="64"/>
  <c r="S99" i="64"/>
  <c r="Q99" i="64"/>
  <c r="O99" i="64"/>
  <c r="M99" i="64"/>
  <c r="K99" i="64"/>
  <c r="I99" i="64"/>
  <c r="G99" i="64"/>
  <c r="E99" i="64"/>
  <c r="W96" i="64"/>
  <c r="U96" i="64"/>
  <c r="S96" i="64"/>
  <c r="Q96" i="64"/>
  <c r="O96" i="64"/>
  <c r="M96" i="64"/>
  <c r="K96" i="64"/>
  <c r="I96" i="64"/>
  <c r="G96" i="64"/>
  <c r="E96" i="64"/>
  <c r="W95" i="64"/>
  <c r="U95" i="64"/>
  <c r="S95" i="64"/>
  <c r="Q95" i="64"/>
  <c r="O95" i="64"/>
  <c r="M95" i="64"/>
  <c r="K95" i="64"/>
  <c r="I95" i="64"/>
  <c r="G95" i="64"/>
  <c r="E95" i="64"/>
  <c r="W94" i="64"/>
  <c r="U94" i="64"/>
  <c r="S94" i="64"/>
  <c r="Q94" i="64"/>
  <c r="O94" i="64"/>
  <c r="M94" i="64"/>
  <c r="K94" i="64"/>
  <c r="I94" i="64"/>
  <c r="G94" i="64"/>
  <c r="E94" i="64"/>
  <c r="W83" i="64"/>
  <c r="U83" i="64"/>
  <c r="S83" i="64"/>
  <c r="Q83" i="64"/>
  <c r="O83" i="64"/>
  <c r="M83" i="64"/>
  <c r="K83" i="64"/>
  <c r="I83" i="64"/>
  <c r="G83" i="64"/>
  <c r="E83" i="64"/>
  <c r="W81" i="64"/>
  <c r="U81" i="64"/>
  <c r="S81" i="64"/>
  <c r="Q81" i="64"/>
  <c r="O81" i="64"/>
  <c r="M81" i="64"/>
  <c r="K81" i="64"/>
  <c r="I81" i="64"/>
  <c r="G81" i="64"/>
  <c r="E81" i="64"/>
  <c r="W80" i="64"/>
  <c r="U80" i="64"/>
  <c r="S80" i="64"/>
  <c r="Q80" i="64"/>
  <c r="O80" i="64"/>
  <c r="M80" i="64"/>
  <c r="K80" i="64"/>
  <c r="I80" i="64"/>
  <c r="G80" i="64"/>
  <c r="E80" i="64"/>
  <c r="W63" i="64"/>
  <c r="U63" i="64"/>
  <c r="S63" i="64"/>
  <c r="Q63" i="64"/>
  <c r="O63" i="64"/>
  <c r="M63" i="64"/>
  <c r="K63" i="64"/>
  <c r="I63" i="64"/>
  <c r="G63" i="64"/>
  <c r="E63" i="64"/>
  <c r="W62" i="64"/>
  <c r="U62" i="64"/>
  <c r="S62" i="64"/>
  <c r="Q62" i="64"/>
  <c r="O62" i="64"/>
  <c r="M62" i="64"/>
  <c r="K62" i="64"/>
  <c r="I62" i="64"/>
  <c r="G62" i="64"/>
  <c r="E62" i="64"/>
  <c r="W61" i="64"/>
  <c r="U61" i="64"/>
  <c r="S61" i="64"/>
  <c r="Q61" i="64"/>
  <c r="O61" i="64"/>
  <c r="M61" i="64"/>
  <c r="K61" i="64"/>
  <c r="I61" i="64"/>
  <c r="G61" i="64"/>
  <c r="E61" i="64"/>
  <c r="W60" i="64"/>
  <c r="U60" i="64"/>
  <c r="S60" i="64"/>
  <c r="Q60" i="64"/>
  <c r="O60" i="64"/>
  <c r="M60" i="64"/>
  <c r="K60" i="64"/>
  <c r="I60" i="64"/>
  <c r="G60" i="64"/>
  <c r="E60" i="64"/>
  <c r="W59" i="64"/>
  <c r="U59" i="64"/>
  <c r="S59" i="64"/>
  <c r="Q59" i="64"/>
  <c r="O59" i="64"/>
  <c r="M59" i="64"/>
  <c r="K59" i="64"/>
  <c r="I59" i="64"/>
  <c r="G59" i="64"/>
  <c r="E59" i="64"/>
  <c r="W58" i="64"/>
  <c r="U58" i="64"/>
  <c r="S58" i="64"/>
  <c r="Q58" i="64"/>
  <c r="O58" i="64"/>
  <c r="M58" i="64"/>
  <c r="K58" i="64"/>
  <c r="I58" i="64"/>
  <c r="G58" i="64"/>
  <c r="E58" i="64"/>
  <c r="W57" i="64"/>
  <c r="U57" i="64"/>
  <c r="S57" i="64"/>
  <c r="Q57" i="64"/>
  <c r="O57" i="64"/>
  <c r="M57" i="64"/>
  <c r="K57" i="64"/>
  <c r="I57" i="64"/>
  <c r="G57" i="64"/>
  <c r="E57" i="64"/>
  <c r="W56" i="64"/>
  <c r="U56" i="64"/>
  <c r="S56" i="64"/>
  <c r="Q56" i="64"/>
  <c r="O56" i="64"/>
  <c r="M56" i="64"/>
  <c r="K56" i="64"/>
  <c r="I56" i="64"/>
  <c r="G56" i="64"/>
  <c r="E56" i="64"/>
  <c r="W55" i="64"/>
  <c r="U55" i="64"/>
  <c r="S55" i="64"/>
  <c r="Q55" i="64"/>
  <c r="O55" i="64"/>
  <c r="M55" i="64"/>
  <c r="K55" i="64"/>
  <c r="I55" i="64"/>
  <c r="G55" i="64"/>
  <c r="E55" i="64"/>
  <c r="W54" i="64"/>
  <c r="U54" i="64"/>
  <c r="S54" i="64"/>
  <c r="Q54" i="64"/>
  <c r="O54" i="64"/>
  <c r="M54" i="64"/>
  <c r="K54" i="64"/>
  <c r="I54" i="64"/>
  <c r="G54" i="64"/>
  <c r="E54" i="64"/>
  <c r="W53" i="64"/>
  <c r="U53" i="64"/>
  <c r="S53" i="64"/>
  <c r="Q53" i="64"/>
  <c r="O53" i="64"/>
  <c r="M53" i="64"/>
  <c r="K53" i="64"/>
  <c r="I53" i="64"/>
  <c r="G53" i="64"/>
  <c r="E53" i="64"/>
  <c r="W79" i="64"/>
  <c r="U79" i="64"/>
  <c r="S79" i="64"/>
  <c r="Q79" i="64"/>
  <c r="O79" i="64"/>
  <c r="M79" i="64"/>
  <c r="K79" i="64"/>
  <c r="I79" i="64"/>
  <c r="G79" i="64"/>
  <c r="E79" i="64"/>
  <c r="W78" i="64"/>
  <c r="U78" i="64"/>
  <c r="S78" i="64"/>
  <c r="Q78" i="64"/>
  <c r="O78" i="64"/>
  <c r="M78" i="64"/>
  <c r="K78" i="64"/>
  <c r="I78" i="64"/>
  <c r="G78" i="64"/>
  <c r="E78" i="64"/>
  <c r="W76" i="64"/>
  <c r="U76" i="64"/>
  <c r="S76" i="64"/>
  <c r="Q76" i="64"/>
  <c r="O76" i="64"/>
  <c r="M76" i="64"/>
  <c r="K76" i="64"/>
  <c r="I76" i="64"/>
  <c r="G76" i="64"/>
  <c r="E76" i="64"/>
  <c r="W49" i="64"/>
  <c r="U49" i="64"/>
  <c r="S49" i="64"/>
  <c r="Q49" i="64"/>
  <c r="O49" i="64"/>
  <c r="M49" i="64"/>
  <c r="K49" i="64"/>
  <c r="I49" i="64"/>
  <c r="G49" i="64"/>
  <c r="E49" i="64"/>
  <c r="W48" i="64"/>
  <c r="U48" i="64"/>
  <c r="S48" i="64"/>
  <c r="Q48" i="64"/>
  <c r="O48" i="64"/>
  <c r="M48" i="64"/>
  <c r="K48" i="64"/>
  <c r="I48" i="64"/>
  <c r="G48" i="64"/>
  <c r="E48" i="64"/>
  <c r="W47" i="64"/>
  <c r="U47" i="64"/>
  <c r="S47" i="64"/>
  <c r="Q47" i="64"/>
  <c r="O47" i="64"/>
  <c r="M47" i="64"/>
  <c r="K47" i="64"/>
  <c r="I47" i="64"/>
  <c r="G47" i="64"/>
  <c r="E47" i="64"/>
  <c r="W43" i="64"/>
  <c r="U43" i="64"/>
  <c r="S43" i="64"/>
  <c r="Q43" i="64"/>
  <c r="O43" i="64"/>
  <c r="M43" i="64"/>
  <c r="K43" i="64"/>
  <c r="I43" i="64"/>
  <c r="G43" i="64"/>
  <c r="E43" i="64"/>
  <c r="W42" i="64"/>
  <c r="U42" i="64"/>
  <c r="S42" i="64"/>
  <c r="Q42" i="64"/>
  <c r="O42" i="64"/>
  <c r="M42" i="64"/>
  <c r="K42" i="64"/>
  <c r="I42" i="64"/>
  <c r="G42" i="64"/>
  <c r="E42" i="64"/>
  <c r="W41" i="64"/>
  <c r="U41" i="64"/>
  <c r="S41" i="64"/>
  <c r="Q41" i="64"/>
  <c r="O41" i="64"/>
  <c r="M41" i="64"/>
  <c r="K41" i="64"/>
  <c r="I41" i="64"/>
  <c r="G41" i="64"/>
  <c r="E41" i="64"/>
  <c r="W93" i="64"/>
  <c r="U93" i="64"/>
  <c r="S93" i="64"/>
  <c r="Q93" i="64"/>
  <c r="O93" i="64"/>
  <c r="M93" i="64"/>
  <c r="K93" i="64"/>
  <c r="I93" i="64"/>
  <c r="G93" i="64"/>
  <c r="E93" i="64"/>
  <c r="W92" i="64"/>
  <c r="U92" i="64"/>
  <c r="S92" i="64"/>
  <c r="Q92" i="64"/>
  <c r="O92" i="64"/>
  <c r="M92" i="64"/>
  <c r="K92" i="64"/>
  <c r="I92" i="64"/>
  <c r="G92" i="64"/>
  <c r="E92" i="64"/>
  <c r="W91" i="64"/>
  <c r="U91" i="64"/>
  <c r="S91" i="64"/>
  <c r="Q91" i="64"/>
  <c r="O91" i="64"/>
  <c r="M91" i="64"/>
  <c r="K91" i="64"/>
  <c r="I91" i="64"/>
  <c r="G91" i="64"/>
  <c r="E91" i="64"/>
  <c r="W36" i="64"/>
  <c r="U36" i="64"/>
  <c r="S36" i="64"/>
  <c r="Q36" i="64"/>
  <c r="O36" i="64"/>
  <c r="M36" i="64"/>
  <c r="K36" i="64"/>
  <c r="I36" i="64"/>
  <c r="G36" i="64"/>
  <c r="E36" i="64"/>
  <c r="W34" i="64"/>
  <c r="U34" i="64"/>
  <c r="S34" i="64"/>
  <c r="Q34" i="64"/>
  <c r="O34" i="64"/>
  <c r="M34" i="64"/>
  <c r="K34" i="64"/>
  <c r="I34" i="64"/>
  <c r="G34" i="64"/>
  <c r="E34" i="64"/>
  <c r="W32" i="64"/>
  <c r="U32" i="64"/>
  <c r="S32" i="64"/>
  <c r="Q32" i="64"/>
  <c r="O32" i="64"/>
  <c r="M32" i="64"/>
  <c r="K32" i="64"/>
  <c r="I32" i="64"/>
  <c r="G32" i="64"/>
  <c r="E32" i="64"/>
  <c r="W31" i="64"/>
  <c r="U31" i="64"/>
  <c r="S31" i="64"/>
  <c r="Q31" i="64"/>
  <c r="O31" i="64"/>
  <c r="M31" i="64"/>
  <c r="K31" i="64"/>
  <c r="I31" i="64"/>
  <c r="G31" i="64"/>
  <c r="E31" i="64"/>
  <c r="W30" i="64"/>
  <c r="U30" i="64"/>
  <c r="S30" i="64"/>
  <c r="Q30" i="64"/>
  <c r="O30" i="64"/>
  <c r="M30" i="64"/>
  <c r="K30" i="64"/>
  <c r="I30" i="64"/>
  <c r="G30" i="64"/>
  <c r="E30" i="64"/>
  <c r="W26" i="64"/>
  <c r="U26" i="64"/>
  <c r="S26" i="64"/>
  <c r="Q26" i="64"/>
  <c r="O26" i="64"/>
  <c r="M26" i="64"/>
  <c r="K26" i="64"/>
  <c r="I26" i="64"/>
  <c r="G26" i="64"/>
  <c r="E26" i="64"/>
  <c r="W23" i="64"/>
  <c r="U23" i="64"/>
  <c r="S23" i="64"/>
  <c r="Q23" i="64"/>
  <c r="O23" i="64"/>
  <c r="M23" i="64"/>
  <c r="K23" i="64"/>
  <c r="I23" i="64"/>
  <c r="G23" i="64"/>
  <c r="E23" i="64"/>
  <c r="W21" i="64"/>
  <c r="U21" i="64"/>
  <c r="S21" i="64"/>
  <c r="Q21" i="64"/>
  <c r="O21" i="64"/>
  <c r="M21" i="64"/>
  <c r="K21" i="64"/>
  <c r="I21" i="64"/>
  <c r="G21" i="64"/>
  <c r="E21" i="64"/>
  <c r="W17" i="64"/>
  <c r="U17" i="64"/>
  <c r="S17" i="64"/>
  <c r="Q17" i="64"/>
  <c r="O17" i="64"/>
  <c r="M17" i="64"/>
  <c r="K17" i="64"/>
  <c r="I17" i="64"/>
  <c r="G17" i="64"/>
  <c r="E17" i="64"/>
  <c r="W13" i="64"/>
  <c r="U13" i="64"/>
  <c r="S13" i="64"/>
  <c r="Q13" i="64"/>
  <c r="O13" i="64"/>
  <c r="M13" i="64"/>
  <c r="K13" i="64"/>
  <c r="I13" i="64"/>
  <c r="G13" i="64"/>
  <c r="E13" i="64"/>
  <c r="W11" i="64"/>
  <c r="U11" i="64"/>
  <c r="S11" i="64"/>
  <c r="Q11" i="64"/>
  <c r="O11" i="64"/>
  <c r="M11" i="64"/>
  <c r="K11" i="64"/>
  <c r="I11" i="64"/>
  <c r="G11" i="64"/>
  <c r="E11" i="64"/>
  <c r="W10" i="64"/>
  <c r="U10" i="64"/>
  <c r="S10" i="64"/>
  <c r="Q10" i="64"/>
  <c r="O10" i="64"/>
  <c r="M10" i="64"/>
  <c r="K10" i="64"/>
  <c r="I10" i="64"/>
  <c r="G10" i="64"/>
  <c r="E10" i="64"/>
  <c r="W9" i="64"/>
  <c r="U9" i="64"/>
  <c r="S9" i="64"/>
  <c r="Q9" i="64"/>
  <c r="O9" i="64"/>
  <c r="M9" i="64"/>
  <c r="K9" i="64"/>
  <c r="I9" i="64"/>
  <c r="G9" i="64"/>
  <c r="E9" i="64"/>
  <c r="W5" i="64"/>
  <c r="U5" i="64"/>
  <c r="S5" i="64"/>
  <c r="Q5" i="64"/>
  <c r="O5" i="64"/>
  <c r="M5" i="64"/>
  <c r="K5" i="64"/>
  <c r="I5" i="64"/>
  <c r="G5" i="64"/>
  <c r="E5" i="64"/>
  <c r="W4" i="64"/>
  <c r="U4" i="64"/>
  <c r="S4" i="64"/>
  <c r="Q4" i="64"/>
  <c r="O4" i="64"/>
  <c r="M4" i="64"/>
  <c r="K4" i="64"/>
  <c r="I4" i="64"/>
  <c r="G4" i="64"/>
  <c r="E4" i="64"/>
  <c r="W2" i="64"/>
  <c r="U2" i="64"/>
  <c r="S2" i="64"/>
  <c r="Q2" i="64"/>
  <c r="O2" i="64"/>
  <c r="M2" i="64"/>
  <c r="K2" i="64"/>
  <c r="I2" i="64"/>
  <c r="G2" i="64"/>
  <c r="E2" i="64"/>
  <c r="Y3" i="64" l="1"/>
  <c r="AC3" i="64" s="1"/>
  <c r="U34" i="33"/>
  <c r="Z57" i="8" l="1"/>
  <c r="W56" i="8"/>
  <c r="Z56" i="8" s="1"/>
  <c r="W55" i="8"/>
  <c r="Z55" i="8" s="1"/>
  <c r="AS23" i="24" l="1"/>
  <c r="Z57" i="6" s="1"/>
  <c r="AS24" i="24"/>
  <c r="AC57" i="6" s="1"/>
  <c r="AS22" i="24"/>
  <c r="W57" i="6" s="1"/>
  <c r="BH34" i="33" l="1"/>
  <c r="BH33" i="33"/>
  <c r="BB34" i="33"/>
  <c r="BC34" i="33" s="1"/>
  <c r="BE34" i="33" s="1"/>
  <c r="BF34" i="33" s="1"/>
  <c r="AZ34" i="33"/>
  <c r="AY34" i="33"/>
  <c r="AX34" i="33"/>
  <c r="AV34" i="33"/>
  <c r="AU34" i="33"/>
  <c r="BB33" i="33"/>
  <c r="BC33" i="33" s="1"/>
  <c r="AZ33" i="33"/>
  <c r="AY33" i="33"/>
  <c r="AX33" i="33"/>
  <c r="AV33" i="33"/>
  <c r="AU33" i="33"/>
  <c r="AR34" i="33"/>
  <c r="AR33" i="33"/>
  <c r="AO34" i="33"/>
  <c r="AO33" i="33"/>
  <c r="AN34" i="33"/>
  <c r="AN33" i="33"/>
  <c r="AM34" i="33"/>
  <c r="AM33" i="33"/>
  <c r="AL34" i="33"/>
  <c r="AL33" i="33"/>
  <c r="AJ34" i="33"/>
  <c r="AJ33" i="33"/>
  <c r="AI34" i="33"/>
  <c r="AI33" i="33"/>
  <c r="AG34" i="33"/>
  <c r="BN34" i="33" s="1"/>
  <c r="AG33" i="33"/>
  <c r="AF34" i="33"/>
  <c r="AF33" i="33"/>
  <c r="AD34" i="33"/>
  <c r="AD33" i="33"/>
  <c r="AC34" i="33"/>
  <c r="AC33" i="33"/>
  <c r="AA34" i="33"/>
  <c r="AA33" i="33"/>
  <c r="Z34" i="33"/>
  <c r="Z33" i="33"/>
  <c r="X34" i="33"/>
  <c r="X33" i="33"/>
  <c r="V34" i="33"/>
  <c r="V33" i="33"/>
  <c r="U33" i="33"/>
  <c r="S34" i="33"/>
  <c r="S33" i="33"/>
  <c r="Q34" i="33"/>
  <c r="Q33" i="33"/>
  <c r="P34" i="33"/>
  <c r="P33" i="33"/>
  <c r="N34" i="33"/>
  <c r="N33" i="33"/>
  <c r="M33" i="33"/>
  <c r="K34" i="33"/>
  <c r="K33" i="33"/>
  <c r="J34" i="33"/>
  <c r="J33" i="33"/>
  <c r="H34" i="33"/>
  <c r="G33" i="33"/>
  <c r="G34" i="33"/>
  <c r="H33" i="33"/>
  <c r="C34" i="33"/>
  <c r="B34" i="33"/>
  <c r="BX33" i="33"/>
  <c r="BS33" i="33"/>
  <c r="D34" i="33" l="1"/>
  <c r="AP34" i="33"/>
  <c r="AS34" i="33"/>
  <c r="A395" i="62"/>
  <c r="A391" i="62"/>
  <c r="A375" i="62"/>
  <c r="A363" i="62"/>
  <c r="A347" i="62"/>
  <c r="A337" i="62"/>
  <c r="A315" i="62"/>
  <c r="A310" i="62"/>
  <c r="A306" i="62"/>
  <c r="A302" i="62"/>
  <c r="A294" i="62"/>
  <c r="A286" i="62"/>
  <c r="A278" i="62"/>
  <c r="A268" i="62"/>
  <c r="A262" i="62"/>
  <c r="A211" i="62"/>
  <c r="A207" i="62"/>
  <c r="A203" i="62"/>
  <c r="A189" i="62"/>
  <c r="A175" i="62"/>
  <c r="A165" i="62"/>
  <c r="A146" i="62"/>
  <c r="A136" i="62"/>
  <c r="A117" i="62"/>
  <c r="A107" i="62"/>
  <c r="A78" i="62"/>
  <c r="A18" i="62"/>
  <c r="A17" i="62"/>
  <c r="A16" i="62"/>
  <c r="A15" i="62"/>
  <c r="A229" i="62"/>
  <c r="D42" i="69" l="1"/>
  <c r="C42" i="69"/>
  <c r="B42" i="69"/>
  <c r="A42" i="69"/>
  <c r="D41" i="69"/>
  <c r="C41" i="69"/>
  <c r="A41" i="69"/>
  <c r="D40" i="69"/>
  <c r="C40" i="69"/>
  <c r="B40" i="69"/>
  <c r="A40" i="69"/>
  <c r="D39" i="69"/>
  <c r="C39" i="69"/>
  <c r="B39" i="69"/>
  <c r="A39" i="69"/>
  <c r="D34" i="69"/>
  <c r="C34" i="69"/>
  <c r="B34" i="69"/>
  <c r="A34" i="69"/>
  <c r="D33" i="69"/>
  <c r="C33" i="69"/>
  <c r="B33" i="69"/>
  <c r="A33" i="69"/>
  <c r="D32" i="69"/>
  <c r="C32" i="69"/>
  <c r="B32" i="69"/>
  <c r="A32" i="69"/>
  <c r="D31" i="69"/>
  <c r="C31" i="69"/>
  <c r="B31" i="69"/>
  <c r="A31" i="69"/>
  <c r="D30" i="69"/>
  <c r="C30" i="69"/>
  <c r="B30" i="69"/>
  <c r="A30" i="69"/>
  <c r="D29" i="69"/>
  <c r="C29" i="69"/>
  <c r="B29" i="69"/>
  <c r="A29" i="69"/>
  <c r="D28" i="69"/>
  <c r="C28" i="69"/>
  <c r="B28" i="69"/>
  <c r="A28" i="69"/>
  <c r="D27" i="69"/>
  <c r="C27" i="69"/>
  <c r="B27" i="69"/>
  <c r="A27" i="69"/>
  <c r="D26" i="69"/>
  <c r="C26" i="69"/>
  <c r="B26" i="69"/>
  <c r="A26" i="69"/>
  <c r="D25" i="69"/>
  <c r="C25" i="69"/>
  <c r="B25" i="69"/>
  <c r="A25" i="69"/>
  <c r="D24" i="69"/>
  <c r="C24" i="69"/>
  <c r="B24" i="69"/>
  <c r="A24" i="69"/>
  <c r="D23" i="69"/>
  <c r="C23" i="69"/>
  <c r="B23" i="69"/>
  <c r="A23" i="69"/>
  <c r="D22" i="69"/>
  <c r="C22" i="69"/>
  <c r="B22" i="69"/>
  <c r="A22" i="69"/>
  <c r="D21" i="69"/>
  <c r="C21" i="69"/>
  <c r="B21" i="69"/>
  <c r="A21" i="69"/>
  <c r="D20" i="69"/>
  <c r="C20" i="69"/>
  <c r="B20" i="69"/>
  <c r="A20" i="69"/>
  <c r="D19" i="69"/>
  <c r="C19" i="69"/>
  <c r="B19" i="69"/>
  <c r="A19" i="69"/>
  <c r="D18" i="69"/>
  <c r="C18" i="69"/>
  <c r="B18" i="69"/>
  <c r="A18" i="69"/>
  <c r="D17" i="69"/>
  <c r="C17" i="69"/>
  <c r="B17" i="69"/>
  <c r="A17" i="69"/>
  <c r="D16" i="69"/>
  <c r="C16" i="69"/>
  <c r="B16" i="69"/>
  <c r="A16" i="69"/>
  <c r="D15" i="69"/>
  <c r="C15" i="69"/>
  <c r="B15" i="69"/>
  <c r="A15" i="69"/>
  <c r="D14" i="69"/>
  <c r="C14" i="69"/>
  <c r="B14" i="69"/>
  <c r="A14" i="69"/>
  <c r="D13" i="69"/>
  <c r="C13" i="69"/>
  <c r="B13" i="69"/>
  <c r="A13" i="69"/>
  <c r="D12" i="69"/>
  <c r="C12" i="69"/>
  <c r="B12" i="69"/>
  <c r="A12" i="69"/>
  <c r="D11" i="69"/>
  <c r="C11" i="69"/>
  <c r="B11" i="69"/>
  <c r="A11" i="69"/>
  <c r="C9" i="69"/>
  <c r="A9" i="69"/>
  <c r="C8" i="69"/>
  <c r="A8" i="69"/>
  <c r="C7" i="69"/>
  <c r="A7" i="69"/>
  <c r="C6" i="69"/>
  <c r="A6" i="69"/>
  <c r="Q162" i="64" l="1"/>
  <c r="O162" i="64"/>
  <c r="M162" i="64"/>
  <c r="K162" i="64"/>
  <c r="I162" i="64"/>
  <c r="G162" i="64"/>
  <c r="E162" i="64"/>
  <c r="Q161" i="64"/>
  <c r="O161" i="64"/>
  <c r="M161" i="64"/>
  <c r="K161" i="64"/>
  <c r="I161" i="64"/>
  <c r="G161" i="64"/>
  <c r="E161" i="64"/>
  <c r="Q160" i="64"/>
  <c r="O160" i="64"/>
  <c r="M160" i="64"/>
  <c r="K160" i="64"/>
  <c r="I160" i="64"/>
  <c r="G160" i="64"/>
  <c r="E160" i="64"/>
  <c r="Q154" i="64"/>
  <c r="O154" i="64"/>
  <c r="M154" i="64"/>
  <c r="K154" i="64"/>
  <c r="I154" i="64"/>
  <c r="G154" i="64"/>
  <c r="E154" i="64"/>
  <c r="Q153" i="64"/>
  <c r="O153" i="64"/>
  <c r="M153" i="64"/>
  <c r="K153" i="64"/>
  <c r="I153" i="64"/>
  <c r="G153" i="64"/>
  <c r="E153" i="64"/>
  <c r="Q152" i="64"/>
  <c r="O152" i="64"/>
  <c r="M152" i="64"/>
  <c r="K152" i="64"/>
  <c r="I152" i="64"/>
  <c r="G152" i="64"/>
  <c r="E152" i="64"/>
  <c r="G3" i="64" l="1"/>
  <c r="W3" i="64"/>
  <c r="Q3" i="64"/>
  <c r="I3" i="64"/>
  <c r="S3" i="64"/>
  <c r="E3" i="64"/>
  <c r="O3" i="64"/>
  <c r="K3" i="64"/>
  <c r="M3" i="64"/>
  <c r="U3" i="64"/>
  <c r="K46" i="22" l="1"/>
  <c r="E46" i="22" l="1"/>
  <c r="AG32" i="33" l="1"/>
  <c r="AF32" i="33"/>
  <c r="BX32" i="33" l="1"/>
  <c r="BS32" i="33"/>
  <c r="BN33" i="33"/>
  <c r="BJ33" i="33"/>
  <c r="BJ32" i="33"/>
  <c r="BJ31" i="33"/>
  <c r="BH32" i="33"/>
  <c r="BH31" i="33"/>
  <c r="BE33" i="33"/>
  <c r="BF33" i="33" s="1"/>
  <c r="BB32" i="33"/>
  <c r="BC32" i="33" s="1"/>
  <c r="AZ32" i="33" l="1"/>
  <c r="AY32" i="33"/>
  <c r="AX32" i="33"/>
  <c r="AV32" i="33"/>
  <c r="AV31" i="33"/>
  <c r="AU32" i="33"/>
  <c r="AU31" i="33"/>
  <c r="AS33" i="33"/>
  <c r="AR32" i="33"/>
  <c r="AS32" i="33" s="1"/>
  <c r="AO32" i="33"/>
  <c r="AO31" i="33"/>
  <c r="AN32" i="33"/>
  <c r="AN31" i="33"/>
  <c r="AM32" i="33"/>
  <c r="AM31" i="33"/>
  <c r="AL32" i="33"/>
  <c r="AJ32" i="33"/>
  <c r="AJ31" i="33"/>
  <c r="AI32" i="33"/>
  <c r="AI31" i="33"/>
  <c r="AF31" i="33"/>
  <c r="AD32" i="33"/>
  <c r="AD31" i="33"/>
  <c r="AC32" i="33"/>
  <c r="AC31" i="33"/>
  <c r="AA32" i="33"/>
  <c r="AA31" i="33"/>
  <c r="Z32" i="33"/>
  <c r="Z31" i="33"/>
  <c r="X32" i="33"/>
  <c r="V32" i="33"/>
  <c r="V31" i="33"/>
  <c r="U32" i="33"/>
  <c r="S32" i="33"/>
  <c r="S31" i="33"/>
  <c r="Q32" i="33"/>
  <c r="P32" i="33"/>
  <c r="N32" i="33"/>
  <c r="M32" i="33"/>
  <c r="K32" i="33"/>
  <c r="J32" i="33"/>
  <c r="H32" i="33"/>
  <c r="K31" i="33"/>
  <c r="J31" i="33"/>
  <c r="H31" i="33"/>
  <c r="G32" i="33"/>
  <c r="G31" i="33"/>
  <c r="C32" i="33"/>
  <c r="C33" i="33"/>
  <c r="B32" i="33"/>
  <c r="B33" i="33"/>
  <c r="D33" i="33" s="1"/>
  <c r="D32" i="33" l="1"/>
  <c r="AP32" i="33"/>
  <c r="AP33" i="33"/>
  <c r="BE32" i="33" l="1"/>
  <c r="BF32" i="33" s="1"/>
  <c r="BN32" i="33"/>
  <c r="Y41" i="18" l="1"/>
  <c r="AG92" i="9"/>
  <c r="BX31" i="33" l="1"/>
  <c r="BS31" i="33"/>
  <c r="BB31" i="33"/>
  <c r="BC31" i="33" s="1"/>
  <c r="BE31" i="33" s="1"/>
  <c r="BF31" i="33" s="1"/>
  <c r="AZ31" i="33"/>
  <c r="AY31" i="33"/>
  <c r="AX31" i="33"/>
  <c r="AR31" i="33"/>
  <c r="AL31" i="33"/>
  <c r="AG31" i="33"/>
  <c r="X31" i="33"/>
  <c r="Q31" i="33"/>
  <c r="P31" i="33"/>
  <c r="N31" i="33"/>
  <c r="M31" i="33"/>
  <c r="BX25" i="33"/>
  <c r="BS25" i="33"/>
  <c r="BX24" i="33"/>
  <c r="BS24" i="33"/>
  <c r="BS23" i="33"/>
  <c r="U31" i="33"/>
  <c r="BX30" i="33"/>
  <c r="BS30" i="33"/>
  <c r="BJ30" i="33"/>
  <c r="BH30" i="33"/>
  <c r="BB30" i="33"/>
  <c r="BC30" i="33" s="1"/>
  <c r="AZ30" i="33"/>
  <c r="AY30" i="33"/>
  <c r="AX30" i="33"/>
  <c r="AV30" i="33"/>
  <c r="AU30" i="33"/>
  <c r="AR30" i="33"/>
  <c r="AO30" i="33"/>
  <c r="AN30" i="33"/>
  <c r="AM30" i="33"/>
  <c r="AL30" i="33"/>
  <c r="AJ30" i="33"/>
  <c r="AI30" i="33"/>
  <c r="AG30" i="33"/>
  <c r="BN30" i="33" s="1"/>
  <c r="AF30" i="33"/>
  <c r="AD30" i="33"/>
  <c r="AC30" i="33"/>
  <c r="AA30" i="33"/>
  <c r="Z30" i="33"/>
  <c r="X30" i="33"/>
  <c r="V30" i="33"/>
  <c r="U30" i="33"/>
  <c r="S30" i="33"/>
  <c r="Q30" i="33"/>
  <c r="BX29" i="33"/>
  <c r="BS29" i="33"/>
  <c r="BJ29" i="33"/>
  <c r="BH29" i="33"/>
  <c r="BB29" i="33"/>
  <c r="BC29" i="33" s="1"/>
  <c r="AZ29" i="33"/>
  <c r="AY29" i="33"/>
  <c r="AX29" i="33"/>
  <c r="AV29" i="33"/>
  <c r="AU29" i="33"/>
  <c r="AR29" i="33"/>
  <c r="AO29" i="33"/>
  <c r="AN29" i="33"/>
  <c r="AM29" i="33"/>
  <c r="AL29" i="33"/>
  <c r="AJ29" i="33"/>
  <c r="AI29" i="33"/>
  <c r="AG29" i="33"/>
  <c r="BN29" i="33" s="1"/>
  <c r="AF29" i="33"/>
  <c r="AD29" i="33"/>
  <c r="AC29" i="33"/>
  <c r="AA29" i="33"/>
  <c r="Z29" i="33"/>
  <c r="X29" i="33"/>
  <c r="V29" i="33"/>
  <c r="U29" i="33"/>
  <c r="S29" i="33"/>
  <c r="Q29" i="33"/>
  <c r="BX28" i="33"/>
  <c r="BS28" i="33"/>
  <c r="BJ28" i="33"/>
  <c r="BH28" i="33"/>
  <c r="BB28" i="33"/>
  <c r="BC28" i="33" s="1"/>
  <c r="BE28" i="33" s="1"/>
  <c r="BF28" i="33" s="1"/>
  <c r="AZ28" i="33"/>
  <c r="AY28" i="33"/>
  <c r="AX28" i="33"/>
  <c r="AV28" i="33"/>
  <c r="AU28" i="33"/>
  <c r="AR28" i="33"/>
  <c r="AO28" i="33"/>
  <c r="AN28" i="33"/>
  <c r="AM28" i="33"/>
  <c r="AL28" i="33"/>
  <c r="AJ28" i="33"/>
  <c r="AI28" i="33"/>
  <c r="AG28" i="33"/>
  <c r="BN28" i="33" s="1"/>
  <c r="AF28" i="33"/>
  <c r="AD28" i="33"/>
  <c r="AC28" i="33"/>
  <c r="AA28" i="33"/>
  <c r="Z28" i="33"/>
  <c r="X28" i="33"/>
  <c r="V28" i="33"/>
  <c r="U28" i="33"/>
  <c r="S28" i="33"/>
  <c r="Q28" i="33"/>
  <c r="BX27" i="33"/>
  <c r="BS27" i="33"/>
  <c r="BJ27" i="33"/>
  <c r="BH27" i="33"/>
  <c r="BB27" i="33"/>
  <c r="BC27" i="33" s="1"/>
  <c r="BE27" i="33" s="1"/>
  <c r="BF27" i="33" s="1"/>
  <c r="AZ27" i="33"/>
  <c r="AY27" i="33"/>
  <c r="AX27" i="33"/>
  <c r="AV27" i="33"/>
  <c r="AU27" i="33"/>
  <c r="AR27" i="33"/>
  <c r="AO27" i="33"/>
  <c r="AN27" i="33"/>
  <c r="AM27" i="33"/>
  <c r="AL27" i="33"/>
  <c r="AJ27" i="33"/>
  <c r="AI27" i="33"/>
  <c r="AG27" i="33"/>
  <c r="BN27" i="33" s="1"/>
  <c r="AF27" i="33"/>
  <c r="AD27" i="33"/>
  <c r="AC27" i="33"/>
  <c r="AA27" i="33"/>
  <c r="Z27" i="33"/>
  <c r="X27" i="33"/>
  <c r="V27" i="33"/>
  <c r="U27" i="33"/>
  <c r="S27" i="33"/>
  <c r="Q27" i="33"/>
  <c r="BX26" i="33"/>
  <c r="BS26" i="33"/>
  <c r="BJ26" i="33"/>
  <c r="BH26" i="33"/>
  <c r="BB26" i="33"/>
  <c r="BC26" i="33" s="1"/>
  <c r="AZ26" i="33"/>
  <c r="AY26" i="33"/>
  <c r="AX26" i="33"/>
  <c r="AV26" i="33"/>
  <c r="AU26" i="33"/>
  <c r="AR26" i="33"/>
  <c r="AO26" i="33"/>
  <c r="AN26" i="33"/>
  <c r="AM26" i="33"/>
  <c r="AL26" i="33"/>
  <c r="AJ26" i="33"/>
  <c r="AI26" i="33"/>
  <c r="AG26" i="33"/>
  <c r="BN26" i="33" s="1"/>
  <c r="AF26" i="33"/>
  <c r="AD26" i="33"/>
  <c r="AC26" i="33"/>
  <c r="AA26" i="33"/>
  <c r="Z26" i="33"/>
  <c r="X26" i="33"/>
  <c r="Q26" i="33"/>
  <c r="V26" i="33"/>
  <c r="U26" i="33"/>
  <c r="S26" i="33"/>
  <c r="P30" i="33"/>
  <c r="P29" i="33"/>
  <c r="P28" i="33"/>
  <c r="P27" i="33"/>
  <c r="P26" i="33"/>
  <c r="N30" i="33"/>
  <c r="N29" i="33"/>
  <c r="N28" i="33"/>
  <c r="N27" i="33"/>
  <c r="N26" i="33"/>
  <c r="M30" i="33"/>
  <c r="M29" i="33"/>
  <c r="M28" i="33"/>
  <c r="M27" i="33"/>
  <c r="M26" i="33"/>
  <c r="K30" i="33"/>
  <c r="K29" i="33"/>
  <c r="K28" i="33"/>
  <c r="K27" i="33"/>
  <c r="K26" i="33"/>
  <c r="J30" i="33"/>
  <c r="J29" i="33"/>
  <c r="J28" i="33"/>
  <c r="J27" i="33"/>
  <c r="J26" i="33"/>
  <c r="H30" i="33"/>
  <c r="H29" i="33"/>
  <c r="H28" i="33"/>
  <c r="H27" i="33"/>
  <c r="H26" i="33"/>
  <c r="G30" i="33"/>
  <c r="G29" i="33"/>
  <c r="G28" i="33"/>
  <c r="G27" i="33"/>
  <c r="G26" i="33"/>
  <c r="AP30" i="33" l="1"/>
  <c r="AP27" i="33"/>
  <c r="AP29" i="33"/>
  <c r="AP26" i="33"/>
  <c r="AP28" i="33"/>
  <c r="AP31" i="33"/>
  <c r="AS26" i="33"/>
  <c r="AS27" i="33"/>
  <c r="AS31" i="33"/>
  <c r="AS29" i="33"/>
  <c r="AS28" i="33"/>
  <c r="AS30" i="33"/>
  <c r="BN31" i="33"/>
  <c r="BE29" i="33"/>
  <c r="BF29" i="33" s="1"/>
  <c r="BE26" i="33"/>
  <c r="BF26" i="33" s="1"/>
  <c r="BE30" i="33"/>
  <c r="BF30" i="33" s="1"/>
  <c r="AG55" i="24" l="1"/>
  <c r="AG39" i="24"/>
  <c r="M64" i="23" l="1"/>
  <c r="AP72" i="12" l="1"/>
  <c r="O64" i="23" l="1"/>
  <c r="I64" i="23"/>
  <c r="B31" i="33" l="1"/>
  <c r="C30" i="33"/>
  <c r="C31" i="33"/>
  <c r="B30" i="33"/>
  <c r="D31" i="33" l="1"/>
  <c r="D30" i="33" l="1"/>
  <c r="AO25" i="33" l="1"/>
  <c r="AO24" i="33"/>
  <c r="AO23" i="33"/>
  <c r="AO21" i="33"/>
  <c r="AO22" i="33"/>
  <c r="AO20" i="33"/>
  <c r="AO19" i="33"/>
  <c r="AO18" i="33"/>
  <c r="AO17" i="33"/>
  <c r="AO16" i="33"/>
  <c r="AO15" i="33"/>
  <c r="AO14" i="33"/>
  <c r="B29" i="33" l="1"/>
  <c r="C29" i="33"/>
  <c r="B28" i="33"/>
  <c r="C28" i="33"/>
  <c r="D28" i="33" l="1"/>
  <c r="D29" i="33"/>
  <c r="AZ25" i="33" l="1"/>
  <c r="AZ24" i="33"/>
  <c r="AZ23" i="33"/>
  <c r="AZ22" i="33"/>
  <c r="AZ21" i="33"/>
  <c r="AZ20" i="33"/>
  <c r="AZ19" i="33"/>
  <c r="AZ18" i="33"/>
  <c r="AZ17" i="33"/>
  <c r="AZ16" i="33"/>
  <c r="AZ15" i="33"/>
  <c r="AY25" i="33"/>
  <c r="AY24" i="33"/>
  <c r="AY23" i="33"/>
  <c r="AY22" i="33"/>
  <c r="AY21" i="33"/>
  <c r="AY20" i="33"/>
  <c r="AY19" i="33"/>
  <c r="AY18" i="33"/>
  <c r="AY17" i="33"/>
  <c r="AY16" i="33"/>
  <c r="AY15" i="33"/>
  <c r="AX25" i="33"/>
  <c r="AX24" i="33"/>
  <c r="AX23" i="33"/>
  <c r="AX22" i="33"/>
  <c r="AX21" i="33"/>
  <c r="AX20" i="33"/>
  <c r="AX19" i="33"/>
  <c r="AX18" i="33"/>
  <c r="AX17" i="33"/>
  <c r="AX16" i="33"/>
  <c r="AX15" i="33"/>
  <c r="AZ14" i="33"/>
  <c r="AY14" i="33"/>
  <c r="AX14" i="33"/>
  <c r="BE13" i="33" l="1"/>
  <c r="BJ25" i="33" l="1"/>
  <c r="BJ24" i="33"/>
  <c r="BJ23" i="33"/>
  <c r="BJ22" i="33"/>
  <c r="BJ21" i="33"/>
  <c r="BJ20" i="33"/>
  <c r="BJ19" i="33"/>
  <c r="BJ18" i="33"/>
  <c r="BJ17" i="33"/>
  <c r="BJ16" i="33"/>
  <c r="BJ15" i="33"/>
  <c r="BJ14" i="33"/>
  <c r="BH25" i="33"/>
  <c r="BH24" i="33"/>
  <c r="BH23" i="33"/>
  <c r="BH22" i="33"/>
  <c r="BH21" i="33"/>
  <c r="BH20" i="33"/>
  <c r="BH19" i="33"/>
  <c r="BH18" i="33"/>
  <c r="BH17" i="33"/>
  <c r="BH16" i="33"/>
  <c r="BH15" i="33"/>
  <c r="BH14" i="33"/>
  <c r="BE5" i="33" l="1"/>
  <c r="BF5" i="33" s="1"/>
  <c r="BE6" i="33"/>
  <c r="BF6" i="33" s="1"/>
  <c r="BE7" i="33"/>
  <c r="BF7" i="33" s="1"/>
  <c r="BE8" i="33"/>
  <c r="BF8" i="33" s="1"/>
  <c r="BE9" i="33"/>
  <c r="BF9" i="33" s="1"/>
  <c r="BE10" i="33"/>
  <c r="BF10" i="33" s="1"/>
  <c r="BE11" i="33"/>
  <c r="BF11" i="33" s="1"/>
  <c r="BE12" i="33"/>
  <c r="BF12" i="33" s="1"/>
  <c r="BF13" i="33"/>
  <c r="BE4" i="33"/>
  <c r="BF4" i="33" s="1"/>
  <c r="BB25" i="33"/>
  <c r="BC25" i="33" s="1"/>
  <c r="BB24" i="33"/>
  <c r="BC24" i="33" s="1"/>
  <c r="BB23" i="33"/>
  <c r="BB22" i="33"/>
  <c r="BC22" i="33" s="1"/>
  <c r="BE22" i="33" s="1"/>
  <c r="BF22" i="33" s="1"/>
  <c r="BB21" i="33"/>
  <c r="BC21" i="33" s="1"/>
  <c r="BB20" i="33"/>
  <c r="BC20" i="33" s="1"/>
  <c r="BE20" i="33" s="1"/>
  <c r="BF20" i="33" s="1"/>
  <c r="BB19" i="33"/>
  <c r="BC19" i="33" s="1"/>
  <c r="BB18" i="33"/>
  <c r="BC18" i="33" s="1"/>
  <c r="BB17" i="33"/>
  <c r="BC17" i="33" s="1"/>
  <c r="BE17" i="33" s="1"/>
  <c r="BF17" i="33" s="1"/>
  <c r="BB16" i="33"/>
  <c r="BC16" i="33" s="1"/>
  <c r="BB15" i="33"/>
  <c r="BB14" i="33"/>
  <c r="AV25" i="33"/>
  <c r="AV24" i="33"/>
  <c r="AV23" i="33"/>
  <c r="AV22" i="33"/>
  <c r="AV21" i="33"/>
  <c r="AV20" i="33"/>
  <c r="AV19" i="33"/>
  <c r="AV18" i="33"/>
  <c r="AV17" i="33"/>
  <c r="AV16" i="33"/>
  <c r="AV15" i="33"/>
  <c r="AV14" i="33"/>
  <c r="AU25" i="33"/>
  <c r="AU24" i="33"/>
  <c r="AU23" i="33"/>
  <c r="AU22" i="33"/>
  <c r="AU21" i="33"/>
  <c r="AU20" i="33"/>
  <c r="AU19" i="33"/>
  <c r="AU18" i="33"/>
  <c r="AU17" i="33"/>
  <c r="AU16" i="33"/>
  <c r="AU15" i="33"/>
  <c r="AU14" i="33"/>
  <c r="AN25" i="33"/>
  <c r="AP25" i="33" s="1"/>
  <c r="AN24" i="33"/>
  <c r="AP24" i="33" s="1"/>
  <c r="AN23" i="33"/>
  <c r="AP23" i="33" s="1"/>
  <c r="AN22" i="33"/>
  <c r="AP22" i="33" s="1"/>
  <c r="AN21" i="33"/>
  <c r="AP21" i="33" s="1"/>
  <c r="AN20" i="33"/>
  <c r="AP20" i="33" s="1"/>
  <c r="AN19" i="33"/>
  <c r="AP19" i="33" s="1"/>
  <c r="AN18" i="33"/>
  <c r="AP18" i="33" s="1"/>
  <c r="AN17" i="33"/>
  <c r="AP17" i="33" s="1"/>
  <c r="AN16" i="33"/>
  <c r="AP16" i="33" s="1"/>
  <c r="AN15" i="33"/>
  <c r="AP15" i="33" s="1"/>
  <c r="AN14" i="33"/>
  <c r="AP14" i="33" s="1"/>
  <c r="AM25" i="33"/>
  <c r="AM24" i="33"/>
  <c r="AM23" i="33"/>
  <c r="AM22" i="33"/>
  <c r="AM21" i="33"/>
  <c r="AM20" i="33"/>
  <c r="AM19" i="33"/>
  <c r="AM18" i="33"/>
  <c r="AM17" i="33"/>
  <c r="AM16" i="33"/>
  <c r="AM15" i="33"/>
  <c r="AM14" i="33"/>
  <c r="BC14" i="33" l="1"/>
  <c r="BE14" i="33" s="1"/>
  <c r="BF14" i="33" s="1"/>
  <c r="BE25" i="33"/>
  <c r="BF25" i="33" s="1"/>
  <c r="BE21" i="33"/>
  <c r="BF21" i="33" s="1"/>
  <c r="BE16" i="33"/>
  <c r="BF16" i="33" s="1"/>
  <c r="BE24" i="33"/>
  <c r="BF24" i="33" s="1"/>
  <c r="BE19" i="33"/>
  <c r="BF19" i="33" s="1"/>
  <c r="BC15" i="33"/>
  <c r="BE15" i="33" s="1"/>
  <c r="BF15" i="33" s="1"/>
  <c r="BC23" i="33"/>
  <c r="BE23" i="33" s="1"/>
  <c r="BF23" i="33" s="1"/>
  <c r="BE18" i="33"/>
  <c r="BF18" i="33" s="1"/>
  <c r="AL25" i="33"/>
  <c r="AL24" i="33"/>
  <c r="AL23" i="33"/>
  <c r="AL22" i="33"/>
  <c r="AL21" i="33"/>
  <c r="AL20" i="33"/>
  <c r="AL19" i="33"/>
  <c r="AL18" i="33"/>
  <c r="AL17" i="33"/>
  <c r="AL16" i="33"/>
  <c r="AL15" i="33"/>
  <c r="AL14" i="33"/>
  <c r="AR25" i="33" l="1"/>
  <c r="AR24" i="33"/>
  <c r="AR23" i="33"/>
  <c r="AR22" i="33"/>
  <c r="AR21" i="33"/>
  <c r="AR20" i="33"/>
  <c r="AR19" i="33"/>
  <c r="AR18" i="33"/>
  <c r="AR17" i="33"/>
  <c r="AR16" i="33"/>
  <c r="AR15" i="33"/>
  <c r="AR14" i="33"/>
  <c r="AJ25" i="33"/>
  <c r="AJ24" i="33"/>
  <c r="AJ23" i="33"/>
  <c r="AJ22" i="33"/>
  <c r="AJ21" i="33"/>
  <c r="AJ20" i="33"/>
  <c r="AJ19" i="33"/>
  <c r="AJ18" i="33"/>
  <c r="AJ17" i="33"/>
  <c r="AJ16" i="33"/>
  <c r="AJ15" i="33"/>
  <c r="AJ14" i="33"/>
  <c r="AI25" i="33"/>
  <c r="AI24" i="33"/>
  <c r="AI23" i="33"/>
  <c r="AI22" i="33"/>
  <c r="AI21" i="33"/>
  <c r="AI20" i="33"/>
  <c r="AI19" i="33"/>
  <c r="AI18" i="33"/>
  <c r="AI17" i="33"/>
  <c r="AI16" i="33"/>
  <c r="AI15" i="33"/>
  <c r="AI14" i="33"/>
  <c r="AG25" i="33"/>
  <c r="BN25" i="33" s="1"/>
  <c r="AG24" i="33"/>
  <c r="BN24" i="33" s="1"/>
  <c r="AG23" i="33"/>
  <c r="BN23" i="33" s="1"/>
  <c r="AG22" i="33"/>
  <c r="BN22" i="33" s="1"/>
  <c r="AG21" i="33"/>
  <c r="BN21" i="33" s="1"/>
  <c r="AG20" i="33"/>
  <c r="BN20" i="33" s="1"/>
  <c r="AG19" i="33"/>
  <c r="BN19" i="33" s="1"/>
  <c r="AG18" i="33"/>
  <c r="BN18" i="33" s="1"/>
  <c r="AG17" i="33"/>
  <c r="BN17" i="33" s="1"/>
  <c r="AG16" i="33"/>
  <c r="AG15" i="33"/>
  <c r="AG14" i="33"/>
  <c r="AF25" i="33"/>
  <c r="AF24" i="33"/>
  <c r="AF23" i="33"/>
  <c r="AF22" i="33"/>
  <c r="AF21" i="33"/>
  <c r="AF20" i="33"/>
  <c r="AF19" i="33"/>
  <c r="AF18" i="33"/>
  <c r="AF17" i="33"/>
  <c r="AF16" i="33"/>
  <c r="AF15" i="33"/>
  <c r="AF14" i="33"/>
  <c r="AD25" i="33"/>
  <c r="AD24" i="33"/>
  <c r="AD23" i="33"/>
  <c r="AD22" i="33"/>
  <c r="AD21" i="33"/>
  <c r="AD20" i="33"/>
  <c r="AD19" i="33"/>
  <c r="AD18" i="33"/>
  <c r="AD17" i="33"/>
  <c r="AD16" i="33"/>
  <c r="AD15" i="33"/>
  <c r="AD14" i="33"/>
  <c r="AC25" i="33"/>
  <c r="AC24" i="33"/>
  <c r="AC23" i="33"/>
  <c r="AC22" i="33"/>
  <c r="AC21" i="33"/>
  <c r="AC20" i="33"/>
  <c r="AC19" i="33"/>
  <c r="AC18" i="33"/>
  <c r="AC17" i="33"/>
  <c r="AC16" i="33"/>
  <c r="AC15" i="33"/>
  <c r="AC14" i="33"/>
  <c r="AS14" i="33" l="1"/>
  <c r="AS16" i="33"/>
  <c r="AS20" i="33"/>
  <c r="AS24" i="33"/>
  <c r="AS19" i="33"/>
  <c r="AS23" i="33"/>
  <c r="AS17" i="33"/>
  <c r="AS21" i="33"/>
  <c r="AS25" i="33"/>
  <c r="AS18" i="33"/>
  <c r="AS22" i="33"/>
  <c r="AS15" i="33"/>
  <c r="AA25" i="33"/>
  <c r="AA24" i="33"/>
  <c r="AA23" i="33"/>
  <c r="AA22" i="33"/>
  <c r="AA21" i="33"/>
  <c r="AA20" i="33"/>
  <c r="AA19" i="33"/>
  <c r="AA18" i="33"/>
  <c r="AA17" i="33"/>
  <c r="AA16" i="33"/>
  <c r="AA15" i="33"/>
  <c r="AA14" i="33"/>
  <c r="Z25" i="33"/>
  <c r="Z24" i="33"/>
  <c r="Z23" i="33"/>
  <c r="Z22" i="33"/>
  <c r="Z21" i="33"/>
  <c r="Z20" i="33"/>
  <c r="Z19" i="33"/>
  <c r="Z18" i="33"/>
  <c r="Z17" i="33"/>
  <c r="Z16" i="33"/>
  <c r="Z15" i="33"/>
  <c r="Z14" i="33"/>
  <c r="X25" i="33" l="1"/>
  <c r="X24" i="33"/>
  <c r="X23" i="33"/>
  <c r="X22" i="33"/>
  <c r="X21" i="33"/>
  <c r="X20" i="33"/>
  <c r="X19" i="33"/>
  <c r="X18" i="33"/>
  <c r="X17" i="33"/>
  <c r="X16" i="33"/>
  <c r="X15" i="33"/>
  <c r="X14" i="33"/>
  <c r="V25" i="33"/>
  <c r="V24" i="33"/>
  <c r="V23" i="33"/>
  <c r="V22" i="33"/>
  <c r="V21" i="33"/>
  <c r="V20" i="33"/>
  <c r="V19" i="33"/>
  <c r="V18" i="33"/>
  <c r="V17" i="33"/>
  <c r="V16" i="33"/>
  <c r="V15" i="33"/>
  <c r="V14" i="33"/>
  <c r="U25" i="33"/>
  <c r="U24" i="33"/>
  <c r="U23" i="33"/>
  <c r="U22" i="33"/>
  <c r="U21" i="33"/>
  <c r="U20" i="33"/>
  <c r="U19" i="33"/>
  <c r="U18" i="33"/>
  <c r="U17" i="33"/>
  <c r="U16" i="33"/>
  <c r="U15" i="33"/>
  <c r="U14" i="33"/>
  <c r="S25" i="33" l="1"/>
  <c r="S24" i="33"/>
  <c r="S23" i="33"/>
  <c r="S22" i="33"/>
  <c r="S21" i="33"/>
  <c r="S20" i="33"/>
  <c r="S19" i="33"/>
  <c r="S18" i="33"/>
  <c r="S17" i="33"/>
  <c r="S16" i="33"/>
  <c r="S15" i="33"/>
  <c r="S14" i="33"/>
  <c r="P25" i="33" l="1"/>
  <c r="P24" i="33"/>
  <c r="P23" i="33"/>
  <c r="P22" i="33"/>
  <c r="P21" i="33"/>
  <c r="P20" i="33"/>
  <c r="P19" i="33"/>
  <c r="P18" i="33"/>
  <c r="P17" i="33"/>
  <c r="P16" i="33"/>
  <c r="P15" i="33"/>
  <c r="P14" i="33"/>
  <c r="Q25" i="33"/>
  <c r="Q24" i="33"/>
  <c r="Q23" i="33"/>
  <c r="Q22" i="33"/>
  <c r="Q21" i="33"/>
  <c r="Q20" i="33"/>
  <c r="Q19" i="33"/>
  <c r="Q18" i="33"/>
  <c r="Q17" i="33"/>
  <c r="Q16" i="33"/>
  <c r="Q15" i="33"/>
  <c r="Q14" i="33"/>
  <c r="N25" i="33" l="1"/>
  <c r="N24" i="33"/>
  <c r="N23" i="33"/>
  <c r="N22" i="33"/>
  <c r="N21" i="33"/>
  <c r="N20" i="33"/>
  <c r="N19" i="33"/>
  <c r="N18" i="33"/>
  <c r="N17" i="33"/>
  <c r="N16" i="33"/>
  <c r="N15" i="33"/>
  <c r="N14" i="33"/>
  <c r="M25" i="33"/>
  <c r="M24" i="33"/>
  <c r="M23" i="33"/>
  <c r="M22" i="33"/>
  <c r="M21" i="33"/>
  <c r="M20" i="33"/>
  <c r="M19" i="33"/>
  <c r="M18" i="33"/>
  <c r="M17" i="33"/>
  <c r="M16" i="33"/>
  <c r="M15" i="33"/>
  <c r="M14" i="33"/>
  <c r="K25" i="33" l="1"/>
  <c r="K24" i="33"/>
  <c r="K23" i="33"/>
  <c r="K22" i="33"/>
  <c r="K21" i="33"/>
  <c r="K20" i="33"/>
  <c r="K19" i="33"/>
  <c r="K18" i="33"/>
  <c r="K17" i="33"/>
  <c r="K16" i="33"/>
  <c r="K15" i="33"/>
  <c r="K14" i="33"/>
  <c r="J25" i="33"/>
  <c r="J24" i="33"/>
  <c r="J23" i="33"/>
  <c r="J22" i="33"/>
  <c r="J21" i="33"/>
  <c r="J20" i="33"/>
  <c r="J19" i="33"/>
  <c r="J18" i="33"/>
  <c r="J17" i="33"/>
  <c r="J16" i="33"/>
  <c r="J15" i="33"/>
  <c r="J14" i="33"/>
  <c r="H25" i="33"/>
  <c r="H24" i="33"/>
  <c r="H23" i="33"/>
  <c r="H22" i="33"/>
  <c r="H21" i="33"/>
  <c r="H20" i="33"/>
  <c r="H19" i="33"/>
  <c r="H18" i="33"/>
  <c r="H17" i="33"/>
  <c r="H16" i="33"/>
  <c r="H15" i="33"/>
  <c r="H14" i="33"/>
  <c r="G25" i="33" l="1"/>
  <c r="G24" i="33"/>
  <c r="G23" i="33"/>
  <c r="G22" i="33"/>
  <c r="G21" i="33"/>
  <c r="G20" i="33"/>
  <c r="G19" i="33"/>
  <c r="G18" i="33"/>
  <c r="G17" i="33"/>
  <c r="G16" i="33"/>
  <c r="G15" i="33"/>
  <c r="G14" i="33"/>
  <c r="B5" i="33" l="1"/>
  <c r="C5" i="33"/>
  <c r="B6" i="33"/>
  <c r="C6" i="33"/>
  <c r="B7" i="33"/>
  <c r="C7" i="33"/>
  <c r="B8" i="33"/>
  <c r="C8" i="33"/>
  <c r="B9" i="33"/>
  <c r="C9" i="33"/>
  <c r="B10" i="33"/>
  <c r="C10" i="33"/>
  <c r="B11" i="33"/>
  <c r="C11" i="33"/>
  <c r="B12" i="33"/>
  <c r="C12" i="33"/>
  <c r="B13" i="33"/>
  <c r="C13" i="33"/>
  <c r="B14" i="33"/>
  <c r="C14" i="33"/>
  <c r="B15" i="33"/>
  <c r="C15" i="33"/>
  <c r="B16" i="33"/>
  <c r="C16" i="33"/>
  <c r="B17" i="33"/>
  <c r="C17" i="33"/>
  <c r="B18" i="33"/>
  <c r="C18" i="33"/>
  <c r="B19" i="33"/>
  <c r="C19" i="33"/>
  <c r="B20" i="33"/>
  <c r="C20" i="33"/>
  <c r="B21" i="33"/>
  <c r="C21" i="33"/>
  <c r="B22" i="33"/>
  <c r="C22" i="33"/>
  <c r="B23" i="33"/>
  <c r="C23" i="33"/>
  <c r="B24" i="33"/>
  <c r="C24" i="33"/>
  <c r="B25" i="33"/>
  <c r="C25" i="33"/>
  <c r="B26" i="33"/>
  <c r="C26" i="33"/>
  <c r="B27" i="33"/>
  <c r="C27" i="33"/>
  <c r="C4" i="33"/>
  <c r="B4" i="33"/>
  <c r="D4" i="33" l="1"/>
  <c r="D26" i="33"/>
  <c r="D24" i="33"/>
  <c r="D22" i="33"/>
  <c r="D20" i="33"/>
  <c r="D18" i="33"/>
  <c r="D16" i="33"/>
  <c r="D14" i="33"/>
  <c r="D12" i="33"/>
  <c r="D10" i="33"/>
  <c r="D8" i="33"/>
  <c r="D6" i="33"/>
  <c r="D27" i="33"/>
  <c r="D25" i="33"/>
  <c r="D23" i="33"/>
  <c r="D21" i="33"/>
  <c r="D19" i="33"/>
  <c r="D17" i="33"/>
  <c r="D15" i="33"/>
  <c r="D13" i="33"/>
  <c r="D11" i="33"/>
  <c r="D9" i="33"/>
  <c r="D7" i="33"/>
  <c r="D5" i="33"/>
  <c r="AD64" i="23"/>
  <c r="AB64" i="23"/>
  <c r="Z64" i="23"/>
  <c r="W64" i="23"/>
  <c r="U64" i="23"/>
  <c r="S64" i="23"/>
  <c r="K64" i="23"/>
  <c r="G64" i="23"/>
  <c r="E64" i="23"/>
  <c r="W46" i="22" l="1"/>
  <c r="R46" i="22"/>
  <c r="N46" i="22"/>
  <c r="H4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broand03</author>
    <author>Hagman Karin, PLes</author>
  </authors>
  <commentList>
    <comment ref="O13" authorId="0" shapeId="0" xr:uid="{00000000-0006-0000-0B00-000001000000}">
      <text>
        <r>
          <rPr>
            <sz val="9"/>
            <color indexed="81"/>
            <rFont val="Tahoma"/>
            <family val="2"/>
          </rPr>
          <t xml:space="preserve">Malmö Limhamns Järnvägs AB bana stängdes under 2005. </t>
        </r>
        <r>
          <rPr>
            <i/>
            <sz val="9"/>
            <color indexed="81"/>
            <rFont val="Tahoma"/>
            <family val="2"/>
          </rPr>
          <t xml:space="preserve">In 2005, the Malmö Limhamns Järnvägs AB line was closed down.
</t>
        </r>
      </text>
    </comment>
    <comment ref="AG44" authorId="1" shapeId="0" xr:uid="{00000000-0006-0000-0B00-000002000000}">
      <text>
        <r>
          <rPr>
            <sz val="9"/>
            <color indexed="81"/>
            <rFont val="Tahoma"/>
            <family val="2"/>
          </rPr>
          <t>Sträckan mellan Rågsveden och Malung nedlagd den 31 december 2014. The line between Rågsveden and Malung closed at 31st December 2014.</t>
        </r>
      </text>
    </comment>
    <comment ref="M62" authorId="0" shapeId="0" xr:uid="{00000000-0006-0000-0B00-000003000000}">
      <text>
        <r>
          <rPr>
            <sz val="9"/>
            <color indexed="81"/>
            <rFont val="Tahoma"/>
            <family val="2"/>
          </rPr>
          <t xml:space="preserve">Uppgifterna har fram till och med 2003 inkluderat reinvesteringar. Up to 2003, the figures have included reinvestments.
</t>
        </r>
      </text>
    </comment>
    <comment ref="Y76" authorId="1" shapeId="0" xr:uid="{00000000-0006-0000-0B00-000004000000}">
      <text>
        <r>
          <rPr>
            <sz val="9"/>
            <color indexed="81"/>
            <rFont val="Tahoma"/>
            <family val="2"/>
          </rPr>
          <t xml:space="preserve">
År 2010 bildades Trafikverket som förvaltar det statliga väg- och järnvägsnätet. Uppgiften exkluderar från och med 2010 personal hos Trafikverket. Eftersom myndigheten arbetar trafikslagsövergripande arbetar samma personal med flera olika trafikslag. Det är därför inte längre möjligt för myndigheten att särredovisa personal för banarbeten. In 2010, the Swedish Transport Administration was formed. This authority manages the state road and rail networks. As from 2010, data exclude the staff of the Transport Administration. The authority works intermodally why the same personnel can work with different modes of traffic. Therefore, the authority can not specify the number of staff assigned to rail infrastructure works.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Hagman Karin, PLes</author>
  </authors>
  <commentList>
    <comment ref="F33" authorId="0" shapeId="0" xr:uid="{00000000-0006-0000-1A00-000001000000}">
      <text>
        <r>
          <rPr>
            <b/>
            <sz val="9"/>
            <color indexed="81"/>
            <rFont val="Tahoma"/>
            <family val="2"/>
          </rPr>
          <t>Hagman Karin, PLes:</t>
        </r>
        <r>
          <rPr>
            <sz val="9"/>
            <color indexed="81"/>
            <rFont val="Tahoma"/>
            <family val="2"/>
          </rPr>
          <t xml:space="preserve">
Hämtat 2020-04-29 från: 
https://www.scb.se/hitta-statistik/statistik-efter-amne/befolkning/befolkningens-sammansattning/befolkningsstatistik/pong/tabell-och-diagram/helarsstatistik--riket/befolkningsstatistik-i-sammandrag/</t>
        </r>
      </text>
    </comment>
    <comment ref="F34" authorId="0" shapeId="0" xr:uid="{00000000-0006-0000-1A00-000002000000}">
      <text>
        <r>
          <rPr>
            <b/>
            <sz val="9"/>
            <color indexed="81"/>
            <rFont val="Tahoma"/>
            <family val="2"/>
          </rPr>
          <t>Hagman Karin, PLes:</t>
        </r>
        <r>
          <rPr>
            <sz val="9"/>
            <color indexed="81"/>
            <rFont val="Tahoma"/>
            <family val="2"/>
          </rPr>
          <t xml:space="preserve">
2021-05-31, https://www.scb.se/hitta-statistik/statistik-efter-amne/befolkning/befolkningens-sammansattning/befolkningsstatistik/pong/tabell-och-diagram/helarsstatistik--riket/befolkningsstatistik-i-sammandrag/</t>
        </r>
      </text>
    </comment>
    <comment ref="F35" authorId="0" shapeId="0" xr:uid="{00000000-0006-0000-1A00-000003000000}">
      <text>
        <r>
          <rPr>
            <b/>
            <sz val="9"/>
            <color indexed="81"/>
            <rFont val="Tahoma"/>
            <family val="2"/>
          </rPr>
          <t>Hagman Karin, PLes:</t>
        </r>
        <r>
          <rPr>
            <sz val="9"/>
            <color indexed="81"/>
            <rFont val="Tahoma"/>
            <family val="2"/>
          </rPr>
          <t xml:space="preserve">
2022-05-31
https://www.scb.se/hitta-statistik/statistik-efter-amne/befolkning/befolkningens-sammansattning/befolkningsstatistik/pong/tabell-och-diagram/helarsstatistik--riket/befolkningsstatistik-i-sammandrag/</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Fredrik Lindberg</author>
  </authors>
  <commentList>
    <comment ref="W86" authorId="0" shapeId="0" xr:uid="{00000000-0006-0000-1B00-000001000000}">
      <text>
        <r>
          <rPr>
            <sz val="9"/>
            <color indexed="81"/>
            <rFont val="Tahoma"/>
            <family val="2"/>
          </rPr>
          <t xml:space="preserve">Inkl. Öresundsbrokonsortiet som tidigare inte tagits med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Hagman Karin, PLes</author>
    <author>broand03</author>
  </authors>
  <commentList>
    <comment ref="AE19" authorId="0" shapeId="0" xr:uid="{00000000-0006-0000-0C00-000001000000}">
      <text>
        <r>
          <rPr>
            <sz val="9"/>
            <color indexed="81"/>
            <rFont val="Tahoma"/>
            <family val="2"/>
          </rPr>
          <t>Lidingöbanan avstängd för upprustning och modernisering juni 2013–oktober 2015. The Lidingö line closed for improvement and modernization june 2013–october 2015.</t>
        </r>
      </text>
    </comment>
    <comment ref="AG19" authorId="0" shapeId="0" xr:uid="{00000000-0006-0000-0C00-000002000000}">
      <text>
        <r>
          <rPr>
            <sz val="9"/>
            <color indexed="81"/>
            <rFont val="Tahoma"/>
            <family val="2"/>
          </rPr>
          <t>Lidingöbanan avstängd för upprustning och modernisering juni 2013–oktober 2015. The Lidingö line closed for improvement and modernization june 2013–october 2015.</t>
        </r>
      </text>
    </comment>
    <comment ref="AE23" authorId="0" shapeId="0" xr:uid="{00000000-0006-0000-0C00-000003000000}">
      <text>
        <r>
          <rPr>
            <sz val="9"/>
            <color indexed="81"/>
            <rFont val="Tahoma"/>
            <family val="2"/>
          </rPr>
          <t>Lidingöbanan avstängd för upprustning och modernisering juni 2013–oktober 2015. The Lidingö line closed for improvement and modernization june 2013–october 2015.</t>
        </r>
      </text>
    </comment>
    <comment ref="AG23" authorId="0" shapeId="0" xr:uid="{00000000-0006-0000-0C00-000004000000}">
      <text>
        <r>
          <rPr>
            <sz val="9"/>
            <color indexed="81"/>
            <rFont val="Tahoma"/>
            <family val="2"/>
          </rPr>
          <t>Lidingöbanan avstängd för upprustning och modernisering juni 2013–oktober 2015. The Lidingö line closed for improvement and modernization june 2013–october 2015.</t>
        </r>
      </text>
    </comment>
    <comment ref="AE24" authorId="0" shapeId="0" xr:uid="{00000000-0006-0000-0C00-000005000000}">
      <text>
        <r>
          <rPr>
            <sz val="9"/>
            <color indexed="81"/>
            <rFont val="Tahoma"/>
            <family val="2"/>
          </rPr>
          <t>Lidingöbanan avstängd för upprustning och modernisering juni 2013–oktober 2015. The Lidingö line closed for improvement and modernization june 2013–october 2015.</t>
        </r>
      </text>
    </comment>
    <comment ref="AG24" authorId="0" shapeId="0" xr:uid="{00000000-0006-0000-0C00-000006000000}">
      <text>
        <r>
          <rPr>
            <sz val="9"/>
            <color indexed="81"/>
            <rFont val="Tahoma"/>
            <family val="2"/>
          </rPr>
          <t>Lidingöbanan avstängd för upprustning och modernisering juni 2013–oktober 2015. The Lidingö line closed for improvement and modernization june 2013–october 2015.</t>
        </r>
      </text>
    </comment>
    <comment ref="AE25" authorId="0" shapeId="0" xr:uid="{00000000-0006-0000-0C00-000007000000}">
      <text>
        <r>
          <rPr>
            <sz val="9"/>
            <color indexed="81"/>
            <rFont val="Tahoma"/>
            <family val="2"/>
          </rPr>
          <t>Lidingöbanan avstängd för upprustning och modernisering juni 2013–oktober 2015. The Lidingö line closed for improvement and modernization june 2013–october 2015.</t>
        </r>
      </text>
    </comment>
    <comment ref="AG25" authorId="0" shapeId="0" xr:uid="{00000000-0006-0000-0C00-000008000000}">
      <text>
        <r>
          <rPr>
            <sz val="9"/>
            <color indexed="81"/>
            <rFont val="Tahoma"/>
            <family val="2"/>
          </rPr>
          <t>Lidingöbanan avstängd för upprustning och modernisering juni 2013–oktober 2015. The Lidingö line closed for improvement and modernization june 2013–october 2015.</t>
        </r>
      </text>
    </comment>
    <comment ref="AE30" authorId="0" shapeId="0" xr:uid="{00000000-0006-0000-0C00-000009000000}">
      <text>
        <r>
          <rPr>
            <sz val="9"/>
            <color indexed="81"/>
            <rFont val="Tahoma"/>
            <family val="2"/>
          </rPr>
          <t>Lidingöbanan avstängd för upprustning och modernisering juni 2013–oktober 2015. The Lidingö line closed for improvement and modernization june 2013–october 2015.</t>
        </r>
      </text>
    </comment>
    <comment ref="AG30" authorId="0" shapeId="0" xr:uid="{00000000-0006-0000-0C00-00000A000000}">
      <text>
        <r>
          <rPr>
            <sz val="9"/>
            <color indexed="81"/>
            <rFont val="Tahoma"/>
            <family val="2"/>
          </rPr>
          <t>Lidingöbanan avstängd för upprustning och modernisering juni 2013–oktober 2015. The Lidingö line closed for improvement and modernization june 2013–october 2015.</t>
        </r>
      </text>
    </comment>
    <comment ref="AE32" authorId="0" shapeId="0" xr:uid="{00000000-0006-0000-0C00-00000B000000}">
      <text>
        <r>
          <rPr>
            <sz val="9"/>
            <color indexed="81"/>
            <rFont val="Tahoma"/>
            <family val="2"/>
          </rPr>
          <t>Lidingöbanan avstängd för upprustning och modernisering juni 2013–oktober 2015. The Lidingö line closed for improvement and modernization june 2013–october 2015.</t>
        </r>
      </text>
    </comment>
    <comment ref="AG32" authorId="0" shapeId="0" xr:uid="{00000000-0006-0000-0C00-00000C000000}">
      <text>
        <r>
          <rPr>
            <sz val="9"/>
            <color indexed="81"/>
            <rFont val="Tahoma"/>
            <family val="2"/>
          </rPr>
          <t>Lidingöbanan avstängd för upprustning och modernisering juni 2013–oktober 2015. The Lidingö line closed for improvement and modernization june 2013–october 2015.</t>
        </r>
      </text>
    </comment>
    <comment ref="M42" authorId="1" shapeId="0" xr:uid="{00000000-0006-0000-0C00-00000D000000}">
      <text>
        <r>
          <rPr>
            <sz val="9"/>
            <color indexed="81"/>
            <rFont val="Tahoma"/>
            <family val="2"/>
          </rPr>
          <t xml:space="preserve">Uppgifterna har fram till och med 2003 inkluderat reinvesteringar. Up to 2003, the figures have included reinvestments.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broand03</author>
    <author>Hagman Karin, PLes</author>
  </authors>
  <commentList>
    <comment ref="M34" authorId="0" shapeId="0" xr:uid="{00000000-0006-0000-0D00-000001000000}">
      <text>
        <r>
          <rPr>
            <sz val="9"/>
            <color indexed="81"/>
            <rFont val="Tahoma"/>
            <family val="2"/>
          </rPr>
          <t xml:space="preserve">Uppgifterna har fram till och med 2003 inkluderat reinvesteringar. Up to 2003, the figures have included reinvestments.
</t>
        </r>
      </text>
    </comment>
    <comment ref="AC51" authorId="1" shapeId="0" xr:uid="{00000000-0006-0000-0D00-000002000000}">
      <text>
        <r>
          <rPr>
            <sz val="9"/>
            <color indexed="81"/>
            <rFont val="Tahoma"/>
            <family val="2"/>
          </rPr>
          <t>På grund av ändrade avtalsformer bland uppgiftslämnarna, är data för banarbeten från 2012 inte jämförbara med tidigare år. Due to changes in contract terms among respondents, staff for infrastructure works 2012 onwards is not comparable with previous years.</t>
        </r>
      </text>
    </comment>
    <comment ref="AC52" authorId="1" shapeId="0" xr:uid="{00000000-0006-0000-0D00-000003000000}">
      <text>
        <r>
          <rPr>
            <sz val="9"/>
            <color indexed="81"/>
            <rFont val="Tahoma"/>
            <family val="2"/>
          </rPr>
          <t>På grund av ändrade avtalsformer bland uppgiftslämnarna, är data för banarbeten från 2012 inte jämförbara med tidigare år. Due to changes in contract terms among respondents, staff for infrastructure works 2012 onwards is not comparable with previous years.</t>
        </r>
      </text>
    </comment>
    <comment ref="AC53" authorId="1" shapeId="0" xr:uid="{00000000-0006-0000-0D00-000004000000}">
      <text>
        <r>
          <rPr>
            <sz val="9"/>
            <color indexed="81"/>
            <rFont val="Tahoma"/>
            <family val="2"/>
          </rPr>
          <t>På grund av ändrade avtalsformer bland uppgiftslämnarna, är data för banarbeten från 2012 inte jämförbara med tidigare år. Due to changes in contract terms among respondents, staff for infrastructure works 2012 onwards is not comparable with previous years.</t>
        </r>
      </text>
    </comment>
    <comment ref="AC63" authorId="1" shapeId="0" xr:uid="{00000000-0006-0000-0D00-000005000000}">
      <text>
        <r>
          <rPr>
            <sz val="9"/>
            <color indexed="81"/>
            <rFont val="Tahoma"/>
            <family val="2"/>
          </rPr>
          <t>På grund av ändrade avtalsformer bland uppgiftslämnarna, är data för banarbeten från 2012 inte jämförbara med tidigare år. Due to changes in contract terms among respondents, staff for infrastructure works 2012 onwards is not comparable with previous years.</t>
        </r>
      </text>
    </comment>
    <comment ref="AC64" authorId="1" shapeId="0" xr:uid="{00000000-0006-0000-0D00-000006000000}">
      <text>
        <r>
          <rPr>
            <sz val="9"/>
            <color indexed="81"/>
            <rFont val="Tahoma"/>
            <family val="2"/>
          </rPr>
          <t>På grund av ändrade avtalsformer bland uppgiftslämnarna, är data för banarbeten från 2012 inte jämförbara med tidigare år. Due to changes in contract terms among respondents, staff for infrastructure works 2012 onwards is not comparable with previous years.</t>
        </r>
      </text>
    </comment>
    <comment ref="AC65" authorId="1" shapeId="0" xr:uid="{00000000-0006-0000-0D00-000007000000}">
      <text>
        <r>
          <rPr>
            <sz val="9"/>
            <color indexed="81"/>
            <rFont val="Tahoma"/>
            <family val="2"/>
          </rPr>
          <t>På grund av ändrade avtalsformer bland uppgiftslämnarna, är data för banarbeten från 2012 inte jämförbara med tidigare år. Due to changes in contract terms among respondents, staff for infrastructure works 2012 onwards is not comparable with previous years.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Broberg Anders, PLes</author>
  </authors>
  <commentList>
    <comment ref="AA5" authorId="0" shapeId="0" xr:uid="{00000000-0006-0000-1000-000001000000}">
      <text>
        <r>
          <rPr>
            <b/>
            <sz val="9"/>
            <color indexed="81"/>
            <rFont val="Tahoma"/>
            <family val="2"/>
          </rPr>
          <t>Anm:</t>
        </r>
        <r>
          <rPr>
            <sz val="9"/>
            <color indexed="81"/>
            <rFont val="Tahoma"/>
            <family val="2"/>
          </rPr>
          <t xml:space="preserve"> Uppgifter om privatvagnar finns inte tillgängliga för alla operatörer sedan 2011.
Data on privately owned wagons are not available for some railway undertakings since 2011.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broand03</author>
    <author>Broberg Anders, PLes</author>
  </authors>
  <commentList>
    <comment ref="I7" authorId="0" shapeId="0" xr:uid="{00000000-0006-0000-1400-000001000000}">
      <text>
        <r>
          <rPr>
            <sz val="9"/>
            <color indexed="81"/>
            <rFont val="Tahoma"/>
            <family val="2"/>
          </rPr>
          <t xml:space="preserve">Fram till och med 2001 inkluderar uppgifterna tonkilometer av tomma privatvagnar. Med ”tonkilometer av tomma privatvagnar” avses den nettolast på sex ton som debiterades då en tom privatvagn drogs av en tågoperatör. Up to 2001, figures include tonne-kilometres by empty privately owned wagons. "Tonne-kilometres by empty privately owned wagons" refer to the six tonnes charged when an empty privately owned wagon was hauled by a railway undertaking.
</t>
        </r>
      </text>
    </comment>
    <comment ref="U7" authorId="1" shapeId="0" xr:uid="{00000000-0006-0000-1400-000002000000}">
      <text>
        <r>
          <rPr>
            <sz val="9"/>
            <color indexed="81"/>
            <rFont val="Tahoma"/>
            <family val="2"/>
          </rPr>
          <t>Före 2009 omfattar inte statistiken norska transittransporter från Norge till Norge genom Sverige.
Before 2009, the statistics do not include Norwegian transit from Norway to Norway through Sweden.</t>
        </r>
      </text>
    </comment>
    <comment ref="O11" authorId="0" shapeId="0" xr:uid="{00000000-0006-0000-1400-000003000000}">
      <text>
        <r>
          <rPr>
            <sz val="9"/>
            <color indexed="81"/>
            <rFont val="Tahoma"/>
            <family val="2"/>
          </rPr>
          <t xml:space="preserve">Första kvartalet 2005 stormfälldes ansenliga mängder skog i södra Sverige vilket märkbart ökade rundvirkestransporterna.  In 2005 the first quarter, southern Sweden was hit by a gale that fell a considerable number of trees resulting in a noticeable increase in transport of round timber.
</t>
        </r>
      </text>
    </comment>
    <comment ref="O14" authorId="0" shapeId="0" xr:uid="{00000000-0006-0000-1400-000004000000}">
      <text>
        <r>
          <rPr>
            <sz val="9"/>
            <color indexed="81"/>
            <rFont val="Tahoma"/>
            <family val="2"/>
          </rPr>
          <t xml:space="preserve">Första kvartalet 2005 stormfälldes ansenliga mängder skog i södra Sverige vilket märkbart ökade rundvirkestransporterna.  In 2005 the first quarter, southern Sweden was hit by a gale that fell a considerable number of trees resulting in a noticeable increase in transport of round timber.
</t>
        </r>
      </text>
    </comment>
    <comment ref="O25" authorId="0" shapeId="0" xr:uid="{00000000-0006-0000-1400-000005000000}">
      <text>
        <r>
          <rPr>
            <sz val="9"/>
            <color indexed="81"/>
            <rFont val="Tahoma"/>
            <family val="2"/>
          </rPr>
          <t>Första kvartalet 2005 stormfälldes ansenliga mängder skog i södra Sverige vilket märkbart ökade rundvirkestransporterna.  In 2005 the first quarter, southern Sweden was hit by a gale that fell a considerable number of trees resulting in a noticeable increase in transport of round timber.</t>
        </r>
      </text>
    </comment>
    <comment ref="O30" authorId="0" shapeId="0" xr:uid="{00000000-0006-0000-1400-000006000000}">
      <text>
        <r>
          <rPr>
            <sz val="9"/>
            <color indexed="81"/>
            <rFont val="Tahoma"/>
            <family val="2"/>
          </rPr>
          <t xml:space="preserve">Första kvartalet 2005 stormfälldes ansenliga mängder skog i södra Sverige vilket märkbart ökade rundvirkestransporterna.  In 2005 the first quarter, southern Sweden was hit by a gale that fell a considerable number of trees resulting in a noticeable increase in transport of round timber.
</t>
        </r>
      </text>
    </comment>
    <comment ref="O31" authorId="0" shapeId="0" xr:uid="{00000000-0006-0000-1400-000007000000}">
      <text>
        <r>
          <rPr>
            <sz val="9"/>
            <color indexed="81"/>
            <rFont val="Tahoma"/>
            <family val="2"/>
          </rPr>
          <t xml:space="preserve">Första kvartalet 2005 stormfälldes ansenliga mängder skog i södra Sverige vilket märkbart ökade rundvirkestransporterna.  In 2005 the first quarter, southern Sweden was hit by a gale that fell a considerable number of trees resulting in a noticeable increase in transport of round timber.
</t>
        </r>
      </text>
    </comment>
    <comment ref="O42" authorId="0" shapeId="0" xr:uid="{00000000-0006-0000-1400-000008000000}">
      <text>
        <r>
          <rPr>
            <sz val="9"/>
            <color indexed="81"/>
            <rFont val="Tahoma"/>
            <family val="2"/>
          </rPr>
          <t xml:space="preserve">Första kvartalet 2005 stormfälldes ansenliga mängder skog i södra Sverige vilket märkbart ökade rundvirkestransporterna.  In 2005 the first quarter, southern Sweden was hit by a gale that fell a considerable number of trees resulting in a noticeable increase in transport of round timber.
</t>
        </r>
      </text>
    </comment>
    <comment ref="O45" authorId="0" shapeId="0" xr:uid="{00000000-0006-0000-1400-000009000000}">
      <text>
        <r>
          <rPr>
            <sz val="9"/>
            <color indexed="81"/>
            <rFont val="Tahoma"/>
            <family val="2"/>
          </rPr>
          <t>Första kvartalet 2005 stormfälldes ansenliga mängder skog i södra Sverige vilket märkbart ökade rundvirkestransporterna.  In 2005 the first quarter, southern Sweden was hit by a gale that fell a considerable number of trees resulting in a noticeable increase in transport of round timber.</t>
        </r>
      </text>
    </comment>
    <comment ref="O61" authorId="0" shapeId="0" xr:uid="{00000000-0006-0000-1400-00000B000000}">
      <text>
        <r>
          <rPr>
            <sz val="9"/>
            <color indexed="81"/>
            <rFont val="Tahoma"/>
            <family val="2"/>
          </rPr>
          <t xml:space="preserve">Första kvartalet 2005 stormfälldes ansenliga mängder skog i södra Sverige vilket märkbart ökade rundvirkestransporterna.  In 2005 the first quarter, southern Sweden was hit by a gale that fell a considerable number of trees resulting in a noticeable increase in transport of round timber.
</t>
        </r>
      </text>
    </comment>
    <comment ref="O62" authorId="0" shapeId="0" xr:uid="{00000000-0006-0000-1400-00000C000000}">
      <text>
        <r>
          <rPr>
            <sz val="9"/>
            <color indexed="81"/>
            <rFont val="Tahoma"/>
            <family val="2"/>
          </rPr>
          <t xml:space="preserve">Första kvartalet 2005 stormfälldes ansenliga mängder skog i södra Sverige vilket märkbart ökade rundvirkestransporterna.  In 2005 the first quarter, southern Sweden was hit by a gale that fell a considerable number of trees resulting in a noticeable increase in transport of round timber.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Broberg Anders, PLes</author>
    <author>broand03</author>
  </authors>
  <commentList>
    <comment ref="U6" authorId="0" shapeId="0" xr:uid="{00000000-0006-0000-1500-000001000000}">
      <text>
        <r>
          <rPr>
            <sz val="9"/>
            <color indexed="81"/>
            <rFont val="Tahoma"/>
            <family val="2"/>
          </rPr>
          <t>Före 2009 omfattar inte statistiken norska transittransporter från Norge till Norge genom Sverige.
Before 2009, the statistics do not include Norwegian transit from Norway to Norway through Sweden.</t>
        </r>
      </text>
    </comment>
    <comment ref="I41" authorId="1" shapeId="0" xr:uid="{00000000-0006-0000-1500-000002000000}">
      <text>
        <r>
          <rPr>
            <sz val="9"/>
            <color indexed="81"/>
            <rFont val="Tahoma"/>
            <family val="2"/>
          </rPr>
          <t>Fram till och med 2001 inkluderar uppgifterna tonkilometer av tomma privatvagnar. Med ”tonkilometer av tomma privatvagnar” avses den nettolast på sex ton som debiterades då en tom privatvagn drogs av en tågoperatör. Up to 2001, figures include tonne-kilometres by empty privately owned wagons. "Tonne-kilometres by empty privately owned wagons" refer to the six tonnes charged when an empty privately owned wagon was hauled by a railway undertaking.</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Broberg Anders, PLes</author>
    <author>broand03</author>
  </authors>
  <commentList>
    <comment ref="U6" authorId="0" shapeId="0" xr:uid="{00000000-0006-0000-1600-000001000000}">
      <text>
        <r>
          <rPr>
            <sz val="9"/>
            <color indexed="81"/>
            <rFont val="Tahoma"/>
            <family val="2"/>
          </rPr>
          <t xml:space="preserve">Före 2009 omfattar inte statistiken norska transittransporter från Norge till Norge genom Sverige.
Before 2009, the statistics do not include Norwegian transit from Norway to Norway through Sweden.
</t>
        </r>
      </text>
    </comment>
    <comment ref="I41" authorId="1" shapeId="0" xr:uid="{00000000-0006-0000-1600-000002000000}">
      <text>
        <r>
          <rPr>
            <sz val="9"/>
            <color indexed="81"/>
            <rFont val="Tahoma"/>
            <family val="2"/>
          </rPr>
          <t xml:space="preserve">Fram till och med 2001 inkluderar uppgifterna tonkilometer av tomma privatvagnar. Med ”tonkilometer av tomma privatvagnar” avses den nettolast på sex ton som debiterades då en tom privatvagn drogs av en tågoperatör. Up to 2001, figures include tonne-kilometres by empty privately owned wagons. "Tonne-kilometres by empty privately owned wagons" refer to the six tonnes charged when an empty privately owned wagon was hauled by a railway undertaking.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Broberg Anders, PLes</author>
  </authors>
  <commentList>
    <comment ref="U5" authorId="0" shapeId="0" xr:uid="{00000000-0006-0000-1700-000001000000}">
      <text>
        <r>
          <rPr>
            <sz val="9"/>
            <color indexed="81"/>
            <rFont val="Tahoma"/>
            <family val="2"/>
          </rPr>
          <t>Före 2009 omfattar inte statistiken norska transittransporter från Norge till Norge genom Sverige.
Before 2009, the statistics do not include Norwegian transit from Norway to Norway through Sweden.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Broberg Anders, PLes</author>
    <author>broand03</author>
  </authors>
  <commentList>
    <comment ref="AA8" authorId="0" shapeId="0" xr:uid="{00000000-0006-0000-1900-000001000000}">
      <text>
        <r>
          <rPr>
            <sz val="9"/>
            <color indexed="81"/>
            <rFont val="Tahoma"/>
            <family val="2"/>
          </rPr>
          <t>På grund av ändrade avtalsformer bland regionala kollektivtrafikmyndigheters upphandlade trafik, rapporteras för 2011 en större andel av det totala resandet på regionala kollektivtrafikmyndigheters tåg.
Due to changes in contract terms among traffic contracted by regional public transport authorities, in 2011 a larger share of total travelling is reported on trains of regional public transport authorities.</t>
        </r>
      </text>
    </comment>
    <comment ref="AA9" authorId="0" shapeId="0" xr:uid="{00000000-0006-0000-1900-000002000000}">
      <text>
        <r>
          <rPr>
            <sz val="9"/>
            <color indexed="81"/>
            <rFont val="Tahoma"/>
            <family val="2"/>
          </rPr>
          <t>På grund av ändrade avtalsformer bland regionala kollektivtrafikmyndigheters upphandlade trafik, rapporteras för 2011 en större andel av det totala resandet på regionala kollektivtrafikmyndigheters tåg.
Due to changes in contract terms among traffic contracted by regional public transport authorities, in 2011 a larger share of total travelling is reported on trains of regional public transport authorities.</t>
        </r>
      </text>
    </comment>
    <comment ref="AA12" authorId="0" shapeId="0" xr:uid="{00000000-0006-0000-1900-000003000000}">
      <text>
        <r>
          <rPr>
            <sz val="9"/>
            <color indexed="81"/>
            <rFont val="Tahoma"/>
            <family val="2"/>
          </rPr>
          <t>På grund av ändrade avtalsformer bland regionala kollektivtrafikmyndigheters upphandlade trafik, rapporteras för 2011 en större andel av det totala resandet på regionala kollektivtrafikmyndigheters tåg.
Due to changes in contract terms among traffic contracted by regional public transport authorities, in 2011 a larger share of total travelling is reported on trains of regional public transport authorities.</t>
        </r>
      </text>
    </comment>
    <comment ref="AA27" authorId="0" shapeId="0" xr:uid="{00000000-0006-0000-1900-000004000000}">
      <text>
        <r>
          <rPr>
            <sz val="9"/>
            <color indexed="81"/>
            <rFont val="Tahoma"/>
            <family val="2"/>
          </rPr>
          <t>På grund av ändrade avtalsformer bland regionala kollektivtrafikmyndigheters upphandlade trafik, rapporteras för 2011 en större andel av det totala resandet på regionala kollektivtrafikmyndigheters tåg.
Due to changes in contract terms among traffic contracted by regional public transport authorities, in 2011 a larger share of total travelling is reported on trains of regional public transport authorities.</t>
        </r>
      </text>
    </comment>
    <comment ref="AA28" authorId="0" shapeId="0" xr:uid="{00000000-0006-0000-1900-000005000000}">
      <text>
        <r>
          <rPr>
            <sz val="9"/>
            <color indexed="81"/>
            <rFont val="Tahoma"/>
            <family val="2"/>
          </rPr>
          <t>På grund av ändrade avtalsformer bland regionala kollektivtrafikmyndigheters upphandlade trafik, rapporteras för 2011 en större andel av det totala resandet på regionala kollektivtrafikmyndigheters tåg.
Due to changes in contract terms among traffic contracted by regional public transport authorities, in 2011 a larger share of total travelling is reported on trains of regional public transport authorities.</t>
        </r>
      </text>
    </comment>
    <comment ref="AA31" authorId="0" shapeId="0" xr:uid="{00000000-0006-0000-1900-000006000000}">
      <text>
        <r>
          <rPr>
            <sz val="9"/>
            <color indexed="81"/>
            <rFont val="Tahoma"/>
            <family val="2"/>
          </rPr>
          <t>På grund av ändrade avtalsformer bland regionala kollektivtrafikmyndigheters upphandlade trafik, rapporteras för 2011 en större andel av det totala resandet på regionala kollektivtrafikmyndigheters tåg.
Due to changes in contract terms among traffic contracted by regional public transport authorities, in 2011 a larger share of total travelling is reported on trains of regional public transport authorities.</t>
        </r>
      </text>
    </comment>
    <comment ref="AA55" authorId="0" shapeId="0" xr:uid="{00000000-0006-0000-1900-000007000000}">
      <text>
        <r>
          <rPr>
            <sz val="9"/>
            <color indexed="81"/>
            <rFont val="Tahoma"/>
            <family val="2"/>
          </rPr>
          <t>På grund av ändrade beräkningsmetoder bland uppgiftslämnarna, är data från 2011 och framåt inte jämförbara med tidigare år. 
Due to changes in the methods of data suppliers, data for 2011 onwards are not comparable with previous years.</t>
        </r>
      </text>
    </comment>
    <comment ref="F58" authorId="1" shapeId="0" xr:uid="{00000000-0006-0000-1900-000008000000}">
      <text>
        <r>
          <rPr>
            <sz val="9"/>
            <color indexed="81"/>
            <rFont val="Tahoma"/>
            <family val="2"/>
          </rPr>
          <t>Fullständiga uppgifter saknas för vissa spårvägar varför redovisat resande är delvis beräknat. Since figures submitted are incomplete, these values are partly estimated.</t>
        </r>
      </text>
    </comment>
    <comment ref="H58" authorId="1" shapeId="0" xr:uid="{00000000-0006-0000-1900-000009000000}">
      <text>
        <r>
          <rPr>
            <sz val="9"/>
            <color indexed="81"/>
            <rFont val="Tahoma"/>
            <family val="2"/>
          </rPr>
          <t>Fullständiga uppgifter saknas för vissa spårvägar varför redovisat resande är delvis beräknat. Since figures submitted are incomplete, these values are partly estimated.</t>
        </r>
      </text>
    </comment>
  </commentList>
</comments>
</file>

<file path=xl/sharedStrings.xml><?xml version="1.0" encoding="utf-8"?>
<sst xmlns="http://schemas.openxmlformats.org/spreadsheetml/2006/main" count="4278" uniqueCount="1475">
  <si>
    <t>Huvudman</t>
  </si>
  <si>
    <t>Tågoperatör inom sektor</t>
  </si>
  <si>
    <t>Body</t>
  </si>
  <si>
    <t>Rail undertaking within sector</t>
  </si>
  <si>
    <t>Finansierande huvudman</t>
  </si>
  <si>
    <t>Subsidiary body</t>
  </si>
  <si>
    <t>Järnväg</t>
  </si>
  <si>
    <t>Social function</t>
  </si>
  <si>
    <t>Infrastruktur</t>
  </si>
  <si>
    <t>Persontrafik</t>
  </si>
  <si>
    <t>Railway</t>
  </si>
  <si>
    <t>Infrastructure</t>
  </si>
  <si>
    <t>Passenger traffic</t>
  </si>
  <si>
    <t>Statlig myndighet</t>
  </si>
  <si>
    <t>State authority</t>
  </si>
  <si>
    <t xml:space="preserve">Regionalt organ  </t>
  </si>
  <si>
    <t>Regional agency</t>
  </si>
  <si>
    <t>Privat företag</t>
  </si>
  <si>
    <t>Private company</t>
  </si>
  <si>
    <t>Infrastrukturförvaltare</t>
  </si>
  <si>
    <t>Infrastructure manager</t>
  </si>
  <si>
    <t>Spårväg</t>
  </si>
  <si>
    <t xml:space="preserve">Tram </t>
  </si>
  <si>
    <t>Tunnelbana</t>
  </si>
  <si>
    <t xml:space="preserve">Metro </t>
  </si>
  <si>
    <t>Gods</t>
  </si>
  <si>
    <t>Person</t>
  </si>
  <si>
    <t>Freight</t>
  </si>
  <si>
    <t>Passenger</t>
  </si>
  <si>
    <t>Inland</t>
  </si>
  <si>
    <t>Domestic</t>
  </si>
  <si>
    <t>Utland</t>
  </si>
  <si>
    <t>Border crossing</t>
  </si>
  <si>
    <t xml:space="preserve"> Trafikverket</t>
  </si>
  <si>
    <t>X</t>
  </si>
  <si>
    <t xml:space="preserve"> AB Storstockholms Lokaltrafik</t>
  </si>
  <si>
    <t xml:space="preserve"> Dalatrafik AB</t>
  </si>
  <si>
    <t xml:space="preserve"> Göteborgs stad</t>
  </si>
  <si>
    <t xml:space="preserve"> Hallandstrafiken AB</t>
  </si>
  <si>
    <t xml:space="preserve"> Jönköpings Länstrafik AB</t>
  </si>
  <si>
    <t xml:space="preserve"> Kalmar Läns Trafik AB</t>
  </si>
  <si>
    <t xml:space="preserve"> Länstrafiken Örebro AB</t>
  </si>
  <si>
    <t xml:space="preserve"> Norrköpings kommun</t>
  </si>
  <si>
    <t xml:space="preserve"> Norrtåg AB</t>
  </si>
  <si>
    <t xml:space="preserve"> Skånetrafiken</t>
  </si>
  <si>
    <t xml:space="preserve"> Tåg i Bergslagen AB</t>
  </si>
  <si>
    <t xml:space="preserve"> Upplands Lokaltrafik AB</t>
  </si>
  <si>
    <t xml:space="preserve"> Värmlandstrafik AB</t>
  </si>
  <si>
    <t xml:space="preserve"> Västmanlands lokaltrafik AB</t>
  </si>
  <si>
    <t xml:space="preserve"> Västtrafik AB</t>
  </si>
  <si>
    <t xml:space="preserve"> X-Trafik AB</t>
  </si>
  <si>
    <t xml:space="preserve"> Östgötatrafiken AB</t>
  </si>
  <si>
    <t xml:space="preserve"> A-Train AB</t>
  </si>
  <si>
    <t xml:space="preserve"> AB Stockholms spårvägar</t>
  </si>
  <si>
    <t xml:space="preserve"> Arriva Tåg AB</t>
  </si>
  <si>
    <t xml:space="preserve"> Cargo Net AS</t>
  </si>
  <si>
    <t xml:space="preserve"> Green Cargo AB</t>
  </si>
  <si>
    <t xml:space="preserve"> Göteborgs Spårvägar AB</t>
  </si>
  <si>
    <t xml:space="preserve"> Hector Rail AB</t>
  </si>
  <si>
    <t xml:space="preserve"> Inlandståget AB</t>
  </si>
  <si>
    <t xml:space="preserve"> LKAB Malmtrafik AB </t>
  </si>
  <si>
    <t xml:space="preserve"> SJ AB</t>
  </si>
  <si>
    <t xml:space="preserve"> Tågfrakt AB</t>
  </si>
  <si>
    <t xml:space="preserve"> Tågåkeriet i Bergslagen AB</t>
  </si>
  <si>
    <t>År</t>
  </si>
  <si>
    <t>Trafikerad banlängd</t>
  </si>
  <si>
    <t>Statliga banor</t>
  </si>
  <si>
    <t>Enskilda banor</t>
  </si>
  <si>
    <t>Totalt</t>
  </si>
  <si>
    <t>Härav</t>
  </si>
  <si>
    <t>Normalspåriga</t>
  </si>
  <si>
    <t>Smalspåriga</t>
  </si>
  <si>
    <t>Härav övertagna enskilda banor</t>
  </si>
  <si>
    <t>Elektrifierade</t>
  </si>
  <si>
    <t>Dubbel- och flerspår</t>
  </si>
  <si>
    <t>Med automatisk tågkontroll</t>
  </si>
  <si>
    <t>i kilometer</t>
  </si>
  <si>
    <t>–</t>
  </si>
  <si>
    <t>..</t>
  </si>
  <si>
    <t>1, 5</t>
  </si>
  <si>
    <t>Year</t>
  </si>
  <si>
    <t>Length of lines worked</t>
  </si>
  <si>
    <t>State railways</t>
  </si>
  <si>
    <t>Private railways</t>
  </si>
  <si>
    <t>Total</t>
  </si>
  <si>
    <t xml:space="preserve">Of which  </t>
  </si>
  <si>
    <t>Standard gauge</t>
  </si>
  <si>
    <t>Narrow gauge</t>
  </si>
  <si>
    <t>Of which
 former private railways</t>
  </si>
  <si>
    <t>Electrified</t>
  </si>
  <si>
    <t>Double track or more</t>
  </si>
  <si>
    <t>With automatic train control</t>
  </si>
  <si>
    <t>kilometres</t>
  </si>
  <si>
    <t>På grund av ändrad spårtypsindelning 1982 ökade den trafikerade</t>
  </si>
  <si>
    <t>Uppgifterna har fram till och med 1988 inkluderat personal för banarbeten.</t>
  </si>
  <si>
    <t>1989 bildades Banverket varvid all SJ banpersonal överfördes dit.</t>
  </si>
  <si>
    <t>tracks in 1982 the line length worked increased by 435 kilometres.</t>
  </si>
  <si>
    <t>Up to 1988, the figures have included staff assigned to permanent way</t>
  </si>
  <si>
    <t>services but as from 1989, this staff was entirely transferred to the newly</t>
  </si>
  <si>
    <t>Till och med 1982 anges anställd personal vid årets slut.</t>
  </si>
  <si>
    <t>formed BV.</t>
  </si>
  <si>
    <t>Up to 1982, number of employees refers to the situation at year-end.</t>
  </si>
  <si>
    <t xml:space="preserve">Uppgifterna inkluderar från och med 1989 Malmö Limhamns </t>
  </si>
  <si>
    <t>Järnvägs AB.</t>
  </si>
  <si>
    <t xml:space="preserve">As from 1989, Malmö Limhamns Järnvägs AB is included in the </t>
  </si>
  <si>
    <t>statistics.</t>
  </si>
  <si>
    <t>Trafikerade banor</t>
  </si>
  <si>
    <t>Personal</t>
  </si>
  <si>
    <t>Korsningar</t>
  </si>
  <si>
    <t>För banarbeten</t>
  </si>
  <si>
    <t>För trafik</t>
  </si>
  <si>
    <t>Planskilda korsningar</t>
  </si>
  <si>
    <t>Plan-korsningar</t>
  </si>
  <si>
    <t>Kvinnor</t>
  </si>
  <si>
    <t>Män</t>
  </si>
  <si>
    <t>antal</t>
  </si>
  <si>
    <t>antal i medeltal</t>
  </si>
  <si>
    <t>Ingår i kol 19</t>
  </si>
  <si>
    <t>Incl. in Col 19</t>
  </si>
  <si>
    <t>”</t>
  </si>
  <si>
    <t>3, 6</t>
  </si>
  <si>
    <t>Tracks worked</t>
  </si>
  <si>
    <t>Staff</t>
  </si>
  <si>
    <t>Crossings</t>
  </si>
  <si>
    <t>Assigned to permanent way</t>
  </si>
  <si>
    <t>Assigned to train operations</t>
  </si>
  <si>
    <t>Grade-separated crossings</t>
  </si>
  <si>
    <t>Level crossings</t>
  </si>
  <si>
    <t>Female</t>
  </si>
  <si>
    <t>Male</t>
  </si>
  <si>
    <t>number</t>
  </si>
  <si>
    <t>mean number</t>
  </si>
  <si>
    <t>Av SJ och TGOJ trafikerad banlängd.</t>
  </si>
  <si>
    <t>Length of lines worked by SJ and TGOJ.</t>
  </si>
  <si>
    <t>Uppgifterna har till och med 1989 inkluderat SJ personal för</t>
  </si>
  <si>
    <t>1991 övergick TGOJ banor (316 km) till statens spåranläggningar.</t>
  </si>
  <si>
    <t>and coach services.</t>
  </si>
  <si>
    <t>Uppgifterna har till och med 1990 inkluderat SJ personal för</t>
  </si>
  <si>
    <t xml:space="preserve">1 maj 1993 övergick Inlandsbanan till IBAB. Trafikerad banlängd </t>
  </si>
  <si>
    <t>färjetrafik.</t>
  </si>
  <si>
    <t>Up to 1990, data included staff assigned to ferry services.</t>
  </si>
  <si>
    <t>transferred to IBAB.  Worked lines 1 053 kilometres.</t>
  </si>
  <si>
    <t>Vagnpark</t>
  </si>
  <si>
    <t>Trafikarbete</t>
  </si>
  <si>
    <t>Person-, post-, resgods-
 och motorvagnar</t>
  </si>
  <si>
    <t>Godsvagnar</t>
  </si>
  <si>
    <t>Resande- 
och 
godståg</t>
  </si>
  <si>
    <t>Person- 
och godsvagnar</t>
  </si>
  <si>
    <t>Personvagnar</t>
  </si>
  <si>
    <t>Vagnar</t>
  </si>
  <si>
    <t xml:space="preserve"> Sitt- sov- och liggplatser</t>
  </si>
  <si>
    <t>Härav privat- registrerade</t>
  </si>
  <si>
    <t>Last-
 förmåga</t>
  </si>
  <si>
    <t>Transport-förmåga</t>
  </si>
  <si>
    <t>Härav utnyttjad</t>
  </si>
  <si>
    <t>1000 ton</t>
  </si>
  <si>
    <t>miljoner tågkilometer</t>
  </si>
  <si>
    <t>miljoner vagnaxel-kilometer</t>
  </si>
  <si>
    <t>miljoner platskilometer</t>
  </si>
  <si>
    <t>%</t>
  </si>
  <si>
    <t>Passenger and freight transport stock</t>
  </si>
  <si>
    <t>Train operations</t>
  </si>
  <si>
    <t>Coaches, vans, 
railcars and trailers</t>
  </si>
  <si>
    <t>Freight transport stock</t>
  </si>
  <si>
    <t>Passenger
and 
freight trains</t>
  </si>
  <si>
    <t>Passenger
and 
freight transport stock</t>
  </si>
  <si>
    <t>Coaches, railcars and trailers</t>
  </si>
  <si>
    <t>Stock</t>
  </si>
  <si>
    <t>Seats and sleeping berths</t>
  </si>
  <si>
    <t>Wagons</t>
  </si>
  <si>
    <t>Of which privately- owned</t>
  </si>
  <si>
    <t>Loading capacity</t>
  </si>
  <si>
    <t>Carrying capacity</t>
  </si>
  <si>
    <t>Of which used</t>
  </si>
  <si>
    <t>1000 tonnes</t>
  </si>
  <si>
    <t>million train-kilometres</t>
  </si>
  <si>
    <t>million axle- kilometres</t>
  </si>
  <si>
    <t>million  seat-kilometres</t>
  </si>
  <si>
    <t>Från och med 2000, endast personal verksamma med trafik och</t>
  </si>
  <si>
    <t>Expressgodstransporter med tåg upphörde den 18 november</t>
  </si>
  <si>
    <t>staff involved in operations including administrative staff.</t>
  </si>
  <si>
    <t>by train ended.</t>
  </si>
  <si>
    <t>1988 upphörde all styckegodstrafik på järnväg. Från och med 1989</t>
  </si>
  <si>
    <t>traffic by rail ceased. Consequently, as from 1989 only express parcels</t>
  </si>
  <si>
    <t xml:space="preserve">are given in this column. </t>
  </si>
  <si>
    <t>Transportarbete</t>
  </si>
  <si>
    <t>Drivmedelsanvändning av järnvägstransporter</t>
  </si>
  <si>
    <t>Resande- och godståg</t>
  </si>
  <si>
    <t>Godstrafik</t>
  </si>
  <si>
    <t>El</t>
  </si>
  <si>
    <t>Bränsle för ångdrift</t>
  </si>
  <si>
    <t>Diesel</t>
  </si>
  <si>
    <t>Express- och styckegods</t>
  </si>
  <si>
    <t>Kombigods</t>
  </si>
  <si>
    <t>Vagnslast- gods</t>
  </si>
  <si>
    <t xml:space="preserve">miljoner personkm </t>
  </si>
  <si>
    <t>miljoner tonkm</t>
  </si>
  <si>
    <t>Transport performance</t>
  </si>
  <si>
    <t>Passenger and freight trains</t>
  </si>
  <si>
    <t>Freight traffic</t>
  </si>
  <si>
    <t>Express parcels and small traffic</t>
  </si>
  <si>
    <t>Intermodal consignments</t>
  </si>
  <si>
    <t>Full 
wagonloads</t>
  </si>
  <si>
    <t>Electric</t>
  </si>
  <si>
    <t>Steam
 (coal)</t>
  </si>
  <si>
    <t>million 
gross tonne-kilometres</t>
  </si>
  <si>
    <t xml:space="preserve">million passenger-kilometres </t>
  </si>
  <si>
    <t>million tonne-kilometres</t>
  </si>
  <si>
    <t>Arlandabanan</t>
  </si>
  <si>
    <t>Arlanda line</t>
  </si>
  <si>
    <t>Inlandsbanan</t>
  </si>
  <si>
    <t>Inland line</t>
  </si>
  <si>
    <t>Roslagsbanan</t>
  </si>
  <si>
    <t>Roslagen line</t>
  </si>
  <si>
    <t>Saltsjöbanan</t>
  </si>
  <si>
    <t>Saltsjöbaden line</t>
  </si>
  <si>
    <t>Statens spåranläggningar</t>
  </si>
  <si>
    <t>State-owned rail infrastructure</t>
  </si>
  <si>
    <t>Trafikerade spår (kilometer)</t>
  </si>
  <si>
    <t>Tracks worked (kilometres)</t>
  </si>
  <si>
    <t>Spårlängd</t>
  </si>
  <si>
    <t>Length of tracks</t>
  </si>
  <si>
    <t>Spårlängd inklusive sidobanor</t>
  </si>
  <si>
    <t>Length of tracks including sidings</t>
  </si>
  <si>
    <t>Banlängd</t>
  </si>
  <si>
    <t>Length of lines</t>
  </si>
  <si>
    <t>Enkelspår</t>
  </si>
  <si>
    <t>Single track</t>
  </si>
  <si>
    <t>- härav smalspår</t>
  </si>
  <si>
    <t>- of which narrow gauge</t>
  </si>
  <si>
    <t>Dubbelspår och flerspår</t>
  </si>
  <si>
    <t>Summa</t>
  </si>
  <si>
    <t>- härav enbart med persontrafik</t>
  </si>
  <si>
    <t>- of which exclusively passenger traffic</t>
  </si>
  <si>
    <t>- härav enbart med godstrafik</t>
  </si>
  <si>
    <t>- of which exclusively freight traffic</t>
  </si>
  <si>
    <t>Elektrifierad banlängd</t>
  </si>
  <si>
    <t>Electrified lines</t>
  </si>
  <si>
    <t>Banlängd med säkerhets- och trafik-</t>
  </si>
  <si>
    <t>styrningssystem</t>
  </si>
  <si>
    <t>Linje- och fjärrblockering</t>
  </si>
  <si>
    <t>Automatic block system and centralised traffic</t>
  </si>
  <si>
    <t>control system</t>
  </si>
  <si>
    <t>Automatisk tågkontroll (ATC)</t>
  </si>
  <si>
    <t>Automatic Train Control (ATC)</t>
  </si>
  <si>
    <t>ERTMS</t>
  </si>
  <si>
    <t>European Rail Traffic Management System</t>
  </si>
  <si>
    <t>Antal planskilda korsningar</t>
  </si>
  <si>
    <t>Number of grade-separated crossings</t>
  </si>
  <si>
    <t>Antal plankorsningar</t>
  </si>
  <si>
    <t>Number of level crossings</t>
  </si>
  <si>
    <t>- härav med bommar</t>
  </si>
  <si>
    <t>- of which with barriers</t>
  </si>
  <si>
    <t>- härav med ljud- och/eller ljussignaler</t>
  </si>
  <si>
    <t>- of which with light and/or acoustic signals</t>
  </si>
  <si>
    <t>- härav med enkla skydd</t>
  </si>
  <si>
    <t>- härav utan skyddsanordningar</t>
  </si>
  <si>
    <t>- of which unprotected</t>
  </si>
  <si>
    <t>Investeringar och underhåll (miljoner SEK)</t>
  </si>
  <si>
    <t>Investments and maintenance (million SEK)</t>
  </si>
  <si>
    <t>Investeringskostnader</t>
  </si>
  <si>
    <t>Investments</t>
  </si>
  <si>
    <t>Reinvesteringskostnader</t>
  </si>
  <si>
    <t>Reinvestments</t>
  </si>
  <si>
    <t>Underhållskostnader</t>
  </si>
  <si>
    <t>Maintenance costs</t>
  </si>
  <si>
    <t>Anställda personer i medeltal</t>
  </si>
  <si>
    <t>Staff strength (mean numbers)</t>
  </si>
  <si>
    <t>Tillgänglig personal för banarbeten</t>
  </si>
  <si>
    <t>Available staff for infrastructure works</t>
  </si>
  <si>
    <t>Tillgänglig personal för trafikledning</t>
  </si>
  <si>
    <t>Available staff for traffic control</t>
  </si>
  <si>
    <t>Totalt antal anställda</t>
  </si>
  <si>
    <t>Total number of staff employed</t>
  </si>
  <si>
    <t>Grand total</t>
  </si>
  <si>
    <t>Stockholms spårvägar</t>
  </si>
  <si>
    <t>Stockholm tram system</t>
  </si>
  <si>
    <t>- Djurgårdslinjen</t>
  </si>
  <si>
    <t>- Djurgården line</t>
  </si>
  <si>
    <t>- Lidingöbanan</t>
  </si>
  <si>
    <t>- Lidingö line</t>
  </si>
  <si>
    <t>- Nockebybanan</t>
  </si>
  <si>
    <t>- Nockeby line</t>
  </si>
  <si>
    <t>- Tvärbanan</t>
  </si>
  <si>
    <t>- Tvärbanan line</t>
  </si>
  <si>
    <t>Göteborgs spårvägar</t>
  </si>
  <si>
    <t>Gothenburg tram system</t>
  </si>
  <si>
    <t>Norrköpings spårvägar</t>
  </si>
  <si>
    <t>Norrköping tram system</t>
  </si>
  <si>
    <t>Stockholms tunnelbana</t>
  </si>
  <si>
    <t>Stockholm Metro</t>
  </si>
  <si>
    <t>Antal dragfordon</t>
  </si>
  <si>
    <t>Number of tractive units and railcars</t>
  </si>
  <si>
    <t>Totalt dragfordon</t>
  </si>
  <si>
    <t>Total tractive stock</t>
  </si>
  <si>
    <t>- härav för persontrafik</t>
  </si>
  <si>
    <t>- of which for passenger traffic</t>
  </si>
  <si>
    <t>- härav för godstrafik</t>
  </si>
  <si>
    <t>- of which for freight traffic</t>
  </si>
  <si>
    <t>Lok och lokomotorer</t>
  </si>
  <si>
    <t>Locomotives and Light rail motor tractors</t>
  </si>
  <si>
    <t>Ellok</t>
  </si>
  <si>
    <t>Electric locomotives</t>
  </si>
  <si>
    <t>Diesellok</t>
  </si>
  <si>
    <t>Diesel locomotives</t>
  </si>
  <si>
    <t>Ellokomotorer</t>
  </si>
  <si>
    <t>Electric light rail motor tractors</t>
  </si>
  <si>
    <t>Diesellokomotorer</t>
  </si>
  <si>
    <t>Diesel light rail motor tractors</t>
  </si>
  <si>
    <t>Motorvagnar</t>
  </si>
  <si>
    <t>Railcars</t>
  </si>
  <si>
    <t>Antal eldrivna motorvagnar</t>
  </si>
  <si>
    <t>Electric powered railcars</t>
  </si>
  <si>
    <t>Motorvagnssätt</t>
  </si>
  <si>
    <t>Railcar trainsets</t>
  </si>
  <si>
    <t>- härav med snabbtågskapacitet</t>
  </si>
  <si>
    <t>- of which with high-speed capacity</t>
  </si>
  <si>
    <t>Antal eldrivna dragfordon</t>
  </si>
  <si>
    <t>Electric powered tractive units</t>
  </si>
  <si>
    <t>I motorvagnssätt</t>
  </si>
  <si>
    <t>In railcar trainsets</t>
  </si>
  <si>
    <t>I motorvagnar</t>
  </si>
  <si>
    <t xml:space="preserve">In railcars </t>
  </si>
  <si>
    <t>Antal dieseldrivna motorvagnar</t>
  </si>
  <si>
    <t>Diesel powered railcars</t>
  </si>
  <si>
    <t>Antal dieseldrivna dragfordon</t>
  </si>
  <si>
    <t>Diesel powered tractive units</t>
  </si>
  <si>
    <t xml:space="preserve">Summa motorvagnar och </t>
  </si>
  <si>
    <t>Total railcars and railcar trainsets</t>
  </si>
  <si>
    <t>motorvagnssätt</t>
  </si>
  <si>
    <t>Total tractive units in railcars</t>
  </si>
  <si>
    <t>and railcar trainsets</t>
  </si>
  <si>
    <t>Number of tractive units</t>
  </si>
  <si>
    <t>Totalt godsvagnar</t>
  </si>
  <si>
    <t>Total wagons</t>
  </si>
  <si>
    <t>Number of wagons</t>
  </si>
  <si>
    <t>Slutna vagnar</t>
  </si>
  <si>
    <t>Covered wagons</t>
  </si>
  <si>
    <t>Lådvagnar</t>
  </si>
  <si>
    <t>High-sided open wagons</t>
  </si>
  <si>
    <t>Flakvagnar</t>
  </si>
  <si>
    <t>Flat wagons</t>
  </si>
  <si>
    <t>Postvagnar</t>
  </si>
  <si>
    <t>Mail wagons</t>
  </si>
  <si>
    <t>Övriga vagnar</t>
  </si>
  <si>
    <t>Other wagons</t>
  </si>
  <si>
    <t>Lastförmåga i ton</t>
  </si>
  <si>
    <t>Load capacity in tonnes</t>
  </si>
  <si>
    <t>- härav vagnar ägda av</t>
  </si>
  <si>
    <t>- of which wagons owned</t>
  </si>
  <si>
    <t xml:space="preserve">  tågoperatörer</t>
  </si>
  <si>
    <t xml:space="preserve">  by railway undertakings</t>
  </si>
  <si>
    <t>- härav privatägda vagnar</t>
  </si>
  <si>
    <t>- of which privately owned wagons</t>
  </si>
  <si>
    <t>Antal fordon</t>
  </si>
  <si>
    <t>Number of vehicles</t>
  </si>
  <si>
    <t>Hauled by locomotives</t>
  </si>
  <si>
    <t>Sittvagnar</t>
  </si>
  <si>
    <t>Coaches</t>
  </si>
  <si>
    <t>Liggvagnar</t>
  </si>
  <si>
    <t>Couchette coaches</t>
  </si>
  <si>
    <t>Sovvagnar</t>
  </si>
  <si>
    <t>Sleeping cars</t>
  </si>
  <si>
    <t>Restaurangvagnar</t>
  </si>
  <si>
    <t>Dining cars</t>
  </si>
  <si>
    <t>Resgodsvagnar</t>
  </si>
  <si>
    <t>Vans for luggage</t>
  </si>
  <si>
    <t xml:space="preserve">Mail vans </t>
  </si>
  <si>
    <t>Specialvagnar</t>
  </si>
  <si>
    <t>Special coaches</t>
  </si>
  <si>
    <t>I motorvagnar och motorvagnssätt</t>
  </si>
  <si>
    <t>In railcars and railcar trainsets</t>
  </si>
  <si>
    <t>Number of vehicles with seats</t>
  </si>
  <si>
    <t>- härav i vagnar med snabbtågskapacitet</t>
  </si>
  <si>
    <t>- of which in vehicles with</t>
  </si>
  <si>
    <t xml:space="preserve">  high-speed capacity</t>
  </si>
  <si>
    <t>Totalt antal fordon</t>
  </si>
  <si>
    <t>Total of vehicles</t>
  </si>
  <si>
    <t>Antal sitt- och sovplatser</t>
  </si>
  <si>
    <t>Number of seats and sleeping berths</t>
  </si>
  <si>
    <t>Sittplatser</t>
  </si>
  <si>
    <t>Seats</t>
  </si>
  <si>
    <t>Motorvagnar och motorvagnssätt</t>
  </si>
  <si>
    <t>Railcars and railcar trainsets</t>
  </si>
  <si>
    <t>Sovplatser</t>
  </si>
  <si>
    <t>Sleeping berths</t>
  </si>
  <si>
    <t>Totalt antal sitt- och sovplatser</t>
  </si>
  <si>
    <t>Total of seats and sleeping berths</t>
  </si>
  <si>
    <t>Antal sittplatser</t>
  </si>
  <si>
    <t>Number of seats</t>
  </si>
  <si>
    <t>Antal ståplatser</t>
  </si>
  <si>
    <t>Number of standing places</t>
  </si>
  <si>
    <t>Tågkilometer (tusental)</t>
  </si>
  <si>
    <t>Med eldrift</t>
  </si>
  <si>
    <t>Electric powered</t>
  </si>
  <si>
    <t>Med dieseldrift</t>
  </si>
  <si>
    <t>Diesel powered</t>
  </si>
  <si>
    <t>Summa eldrift</t>
  </si>
  <si>
    <t>Total electric powered</t>
  </si>
  <si>
    <t>Summa dieseldrift</t>
  </si>
  <si>
    <t>Total diesel powered</t>
  </si>
  <si>
    <t>Bruttotonkilometer av vagnar (miljoner)</t>
  </si>
  <si>
    <t>Gross hauled tonne-kilometres (millions)</t>
  </si>
  <si>
    <t>Platskilometer (miljoner)</t>
  </si>
  <si>
    <t>Seat-kilometres (millions)</t>
  </si>
  <si>
    <t xml:space="preserve"> (miljoner)</t>
  </si>
  <si>
    <t>(millions)</t>
  </si>
  <si>
    <t>Train-kilometres (thousands)</t>
  </si>
  <si>
    <t>Bruttotonkilometer av vagnar</t>
  </si>
  <si>
    <t>Gross hauled tonne-kilometres</t>
  </si>
  <si>
    <t>Platskilometer</t>
  </si>
  <si>
    <t>- härav sittplatskilometer</t>
  </si>
  <si>
    <t>- of which seat-kilometres</t>
  </si>
  <si>
    <t>- härav ståplatskilometer</t>
  </si>
  <si>
    <t>Staff employed (mean numbers)</t>
  </si>
  <si>
    <t>Tillgänglig personal för persontrafik</t>
  </si>
  <si>
    <t>Available staff for passenger traffic</t>
  </si>
  <si>
    <t>Tillgänglig personal för godstrafik</t>
  </si>
  <si>
    <t>Available staff for freight traffic</t>
  </si>
  <si>
    <t>Transporterad godsmängd  /  Tonnes carried</t>
  </si>
  <si>
    <t>Transporterad godsmängd</t>
  </si>
  <si>
    <t>(tusen ton)</t>
  </si>
  <si>
    <t>Domestic consignments</t>
  </si>
  <si>
    <t>Vagnslastgods</t>
  </si>
  <si>
    <t>Wagonloads</t>
  </si>
  <si>
    <t>Malm på malmbanan</t>
  </si>
  <si>
    <t>Ore on the Ore Railway</t>
  </si>
  <si>
    <t>Cross-border consignments</t>
  </si>
  <si>
    <t>All consignments</t>
  </si>
  <si>
    <t>- härav i systemtåg</t>
  </si>
  <si>
    <t>- of which full train loads</t>
  </si>
  <si>
    <t xml:space="preserve">  (exklusive malm på malmbanan)</t>
  </si>
  <si>
    <t xml:space="preserve">   (excluding ore on the Ore Railway)</t>
  </si>
  <si>
    <t>Transportarbete  /  Transport performance</t>
  </si>
  <si>
    <t>(miljoner tonkilometer)</t>
  </si>
  <si>
    <t>Transporterad godsmängd (tusen ton)  /  Tonnes carried (in thousands)</t>
  </si>
  <si>
    <t>Huvudgrupp</t>
  </si>
  <si>
    <t>Transporterad gods­mängd  /  Tonnes carried</t>
  </si>
  <si>
    <t>Division</t>
  </si>
  <si>
    <t>Products of agriculture, forestry, and fishing products</t>
  </si>
  <si>
    <t>Textiles and textile products, leather and leather products</t>
  </si>
  <si>
    <t>Coke and refined petroleum products</t>
  </si>
  <si>
    <t>Basic metals, fabricated metal products, except machinery and equipment</t>
  </si>
  <si>
    <t>household removals, motor vehicles being moved for repair</t>
  </si>
  <si>
    <t>Särredovisning av vissa varuslag</t>
  </si>
  <si>
    <t>Transportarbete (miljoner tonkilometer)  /  Transport performance (million tonne-kilometres)</t>
  </si>
  <si>
    <t>Explosive substances and articles</t>
  </si>
  <si>
    <t>2. Gaser (komprimerade, flytande eller tryckupplösta)</t>
  </si>
  <si>
    <t>Gases, compressed, liquefied or dissolved under pressure</t>
  </si>
  <si>
    <t>3. Brandfarliga vätskor</t>
  </si>
  <si>
    <t>Flammable liquids</t>
  </si>
  <si>
    <t>4.1. Brandfarliga fasta ämnen</t>
  </si>
  <si>
    <t>Flammable solids</t>
  </si>
  <si>
    <t>4.2. Självantändande ämnen</t>
  </si>
  <si>
    <t>Substances liable to spontaneous combustion</t>
  </si>
  <si>
    <t>Substances which, in contact with water, emit flammable gases</t>
  </si>
  <si>
    <t>5.1. Oxiderande ämnen</t>
  </si>
  <si>
    <t>Oxidising substances</t>
  </si>
  <si>
    <t>5.2. Organiska peroxider</t>
  </si>
  <si>
    <t>Organic peroxides</t>
  </si>
  <si>
    <t>6.1. Giftiga ämnen</t>
  </si>
  <si>
    <t>Toxic substances</t>
  </si>
  <si>
    <t>−</t>
  </si>
  <si>
    <t>Substances liable to cause infections</t>
  </si>
  <si>
    <t>7. Radioaktiva ämnen</t>
  </si>
  <si>
    <t>Radioactive material</t>
  </si>
  <si>
    <t>8. Frätande ämnen</t>
  </si>
  <si>
    <t>Corrosive substances</t>
  </si>
  <si>
    <t>Miscellaneous dangerous substances and articles</t>
  </si>
  <si>
    <t>Resor (miljoner)</t>
  </si>
  <si>
    <t>Journeys (millions)</t>
  </si>
  <si>
    <t>I järnvägsföretagens egentrafiktåg</t>
  </si>
  <si>
    <t>Transportarbete (miljoner personkilometer)</t>
  </si>
  <si>
    <t>Uppgiften exkluderar från och med 2010 personal hos Trafikverket. Eftersom</t>
  </si>
  <si>
    <t>myndigheten arbetar trafikslagsövergripande arbetar samma personal med flera</t>
  </si>
  <si>
    <t>olika trafikslag. Det är därför inte längre möjligt för myndigheten att särredovisa</t>
  </si>
  <si>
    <t>År 2010 bildades Trafikverket som förvaltar det statliga väg- och järnvägsnätet.</t>
  </si>
  <si>
    <t>formed. This authority manages the state road and rail networks. As from 2010,</t>
  </si>
  <si>
    <t>data exclude the staff of the Transport Administration. The authority works</t>
  </si>
  <si>
    <t>intermodally why the same personnel can work with different modes of traffic.</t>
  </si>
  <si>
    <t>Therefore, the authority can not specify the number of staff assigned to rail</t>
  </si>
  <si>
    <t>infrastructure works.</t>
  </si>
  <si>
    <t>8, 9</t>
  </si>
  <si>
    <t>Lines with protection and management system</t>
  </si>
  <si>
    <t>(tusen ton)  /  (thousand tonnes)</t>
  </si>
  <si>
    <t>(miljoner tonkilometer)  /  (million tonne-kilometres)</t>
  </si>
  <si>
    <t>och motorvagnssätt</t>
  </si>
  <si>
    <t>Summa dragfordon i motorvagnar</t>
  </si>
  <si>
    <t>Antal vagnar</t>
  </si>
  <si>
    <r>
      <t xml:space="preserve">banlängden med 435 kilometer. </t>
    </r>
    <r>
      <rPr>
        <i/>
        <sz val="8"/>
        <rFont val="Arial"/>
        <family val="2"/>
      </rPr>
      <t>Due to change of classification of</t>
    </r>
  </si>
  <si>
    <r>
      <t>Enbart av SJ trafikerad banlängd.</t>
    </r>
    <r>
      <rPr>
        <i/>
        <sz val="8"/>
        <rFont val="Arial"/>
        <family val="2"/>
      </rPr>
      <t xml:space="preserve"> Only length of lines worked by SJ.</t>
    </r>
  </si>
  <si>
    <r>
      <t>busstrafik.</t>
    </r>
    <r>
      <rPr>
        <i/>
        <sz val="8"/>
        <rFont val="Arial"/>
        <family val="2"/>
      </rPr>
      <t xml:space="preserve"> Up to 1989, the figures included staff employed in bus</t>
    </r>
  </si>
  <si>
    <r>
      <t xml:space="preserve">1 053 kilometer. </t>
    </r>
    <r>
      <rPr>
        <i/>
        <sz val="8"/>
        <rFont val="Arial"/>
        <family val="2"/>
      </rPr>
      <t>As from May 1993, the Inland Railway was</t>
    </r>
  </si>
  <si>
    <r>
      <t>transporter inklusive administrativ personal.</t>
    </r>
    <r>
      <rPr>
        <i/>
        <sz val="8"/>
        <rFont val="Arial"/>
        <family val="2"/>
      </rPr>
      <t xml:space="preserve"> As from 2000, only</t>
    </r>
  </si>
  <si>
    <r>
      <rPr>
        <sz val="8"/>
        <rFont val="Arial"/>
        <family val="2"/>
      </rPr>
      <t>2000.</t>
    </r>
    <r>
      <rPr>
        <i/>
        <sz val="8"/>
        <rFont val="Arial"/>
        <family val="2"/>
      </rPr>
      <t xml:space="preserve"> As from November 18, 2000, express parcel transport </t>
    </r>
  </si>
  <si>
    <r>
      <t>redovisas därför endast expressgods i denna kolumn.</t>
    </r>
    <r>
      <rPr>
        <i/>
        <sz val="8"/>
        <rFont val="Arial"/>
        <family val="2"/>
      </rPr>
      <t xml:space="preserve"> In 1988 all small</t>
    </r>
  </si>
  <si>
    <r>
      <t>m</t>
    </r>
    <r>
      <rPr>
        <vertAlign val="superscript"/>
        <sz val="8"/>
        <rFont val="Arial"/>
        <family val="2"/>
      </rPr>
      <t>3</t>
    </r>
  </si>
  <si>
    <r>
      <t xml:space="preserve">personal för banarbeten. </t>
    </r>
    <r>
      <rPr>
        <i/>
        <sz val="8"/>
        <rFont val="Arial"/>
        <family val="2"/>
      </rPr>
      <t>In 2010, the Swedish Transport Administration was</t>
    </r>
  </si>
  <si>
    <r>
      <t xml:space="preserve">Totalt  /  </t>
    </r>
    <r>
      <rPr>
        <b/>
        <i/>
        <sz val="8"/>
        <rFont val="Arial"/>
        <family val="2"/>
      </rPr>
      <t>Total</t>
    </r>
  </si>
  <si>
    <r>
      <t>Rundvirke  /</t>
    </r>
    <r>
      <rPr>
        <i/>
        <sz val="8"/>
        <rFont val="Arial"/>
        <family val="2"/>
      </rPr>
      <t xml:space="preserve">  Round timber</t>
    </r>
  </si>
  <si>
    <r>
      <t>Flis, trä- och sågavfall  /</t>
    </r>
    <r>
      <rPr>
        <i/>
        <sz val="8"/>
        <rFont val="Arial"/>
        <family val="2"/>
      </rPr>
      <t xml:space="preserve">  Wood chips and waste wood</t>
    </r>
  </si>
  <si>
    <r>
      <t>Jord, grus, sten och sand  /</t>
    </r>
    <r>
      <rPr>
        <i/>
        <sz val="8"/>
        <rFont val="Arial"/>
        <family val="2"/>
      </rPr>
      <t xml:space="preserve">  Soil, gravel, stone and sand</t>
    </r>
  </si>
  <si>
    <r>
      <t xml:space="preserve">Papper, papp och varor därav  /  </t>
    </r>
    <r>
      <rPr>
        <i/>
        <sz val="8"/>
        <rFont val="Arial"/>
        <family val="2"/>
      </rPr>
      <t>Products of paper and pasteboard</t>
    </r>
  </si>
  <si>
    <r>
      <t>Totalt  /</t>
    </r>
    <r>
      <rPr>
        <b/>
        <i/>
        <sz val="8"/>
        <rFont val="Arial"/>
        <family val="2"/>
      </rPr>
      <t xml:space="preserve">  Total</t>
    </r>
  </si>
  <si>
    <r>
      <t>m</t>
    </r>
    <r>
      <rPr>
        <i/>
        <vertAlign val="superscript"/>
        <sz val="8"/>
        <rFont val="Arial"/>
        <family val="2"/>
      </rPr>
      <t>3</t>
    </r>
  </si>
  <si>
    <t>- härav elektrifierad</t>
  </si>
  <si>
    <t>- of which electrified</t>
  </si>
  <si>
    <t>Totalt, antal</t>
  </si>
  <si>
    <t>– härav med statligt stöd</t>
  </si>
  <si>
    <t>– härav med snabbtåg i fjärrtrafik</t>
  </si>
  <si>
    <t>– of which on long distance high-speed trains</t>
  </si>
  <si>
    <t>Transport performance (million passenger-kilometres)</t>
  </si>
  <si>
    <t xml:space="preserve"> SJ Götalandståg AB</t>
  </si>
  <si>
    <t xml:space="preserve"> CFLCargo AB </t>
  </si>
  <si>
    <t>Energy use by rail transports</t>
  </si>
  <si>
    <t>GWh</t>
  </si>
  <si>
    <t>Samhällsfunktion</t>
  </si>
  <si>
    <t>Transportfordon – godstrafik</t>
  </si>
  <si>
    <t>Transport stock – freight traffic</t>
  </si>
  <si>
    <t xml:space="preserve">Transportfordon – persontrafik </t>
  </si>
  <si>
    <t>Transport stock – passenger traffic</t>
  </si>
  <si>
    <t>I regi av regional kollektivtrafikmyndighet</t>
  </si>
  <si>
    <t>I regionala kollektivtrafikmyndigheters tåg</t>
  </si>
  <si>
    <t xml:space="preserve">   regionala kollektivtrafikmyndigheter </t>
  </si>
  <si>
    <t xml:space="preserve">– härav med färdbevis utfärdade av </t>
  </si>
  <si>
    <t xml:space="preserve"> Region Dalarna</t>
  </si>
  <si>
    <t xml:space="preserve"> Region Blekinge</t>
  </si>
  <si>
    <t xml:space="preserve"> Region Skåne</t>
  </si>
  <si>
    <t xml:space="preserve"> Region Värmland</t>
  </si>
  <si>
    <t xml:space="preserve"> Stockholms läns landsting</t>
  </si>
  <si>
    <t xml:space="preserve"> Västra Götalandsregionen</t>
  </si>
  <si>
    <t xml:space="preserve"> Region Halland</t>
  </si>
  <si>
    <t>In railway undertakings’ own-flag trains</t>
  </si>
  <si>
    <t xml:space="preserve">– of which with tickets and passes sold by </t>
  </si>
  <si>
    <t xml:space="preserve">   regional public transport authorities</t>
  </si>
  <si>
    <t>With regional public transport authorities</t>
  </si>
  <si>
    <t>In trains of regional public transport authorities</t>
  </si>
  <si>
    <t>Tillsynsmyndighet</t>
  </si>
  <si>
    <t xml:space="preserve"> Transportstyrelsen</t>
  </si>
  <si>
    <t xml:space="preserve"> Inlandsbanan AB</t>
  </si>
  <si>
    <r>
      <t>Spårväg</t>
    </r>
    <r>
      <rPr>
        <i/>
        <sz val="8"/>
        <rFont val="Arial"/>
        <family val="2"/>
      </rPr>
      <t xml:space="preserve"> Tram</t>
    </r>
  </si>
  <si>
    <r>
      <t>Tunnelbana</t>
    </r>
    <r>
      <rPr>
        <i/>
        <sz val="8"/>
        <rFont val="Arial"/>
        <family val="2"/>
      </rPr>
      <t xml:space="preserve"> Metro</t>
    </r>
  </si>
  <si>
    <t>Län</t>
  </si>
  <si>
    <t>Härav elektrifierade</t>
  </si>
  <si>
    <t>Stockholms län</t>
  </si>
  <si>
    <t>Uppsala län</t>
  </si>
  <si>
    <t>Södermanlands län</t>
  </si>
  <si>
    <t>Östergötlands län</t>
  </si>
  <si>
    <t>Örebro län</t>
  </si>
  <si>
    <t>Västmanlands län</t>
  </si>
  <si>
    <t>Jönköpings län</t>
  </si>
  <si>
    <t>Kronobergs län</t>
  </si>
  <si>
    <t>Kalmar län</t>
  </si>
  <si>
    <t xml:space="preserve">      –</t>
  </si>
  <si>
    <t>Gotlands län</t>
  </si>
  <si>
    <t xml:space="preserve">         –</t>
  </si>
  <si>
    <t>Blekinge län</t>
  </si>
  <si>
    <t>Skåne län</t>
  </si>
  <si>
    <t>Hallands län</t>
  </si>
  <si>
    <t>Västra Götalands län</t>
  </si>
  <si>
    <t>Värmlands län</t>
  </si>
  <si>
    <t>Dalarnas län</t>
  </si>
  <si>
    <t>Gävleborgs län</t>
  </si>
  <si>
    <t>Västernorrlands län</t>
  </si>
  <si>
    <t>Jämtlands län</t>
  </si>
  <si>
    <t>Västerbottens län</t>
  </si>
  <si>
    <t>Norrbottens län</t>
  </si>
  <si>
    <t>County</t>
  </si>
  <si>
    <t>railway undertakings since 2011.</t>
  </si>
  <si>
    <t>- of which with passive protection</t>
  </si>
  <si>
    <t xml:space="preserve"> Regionala kollektivtrafikmyndigheten i Norrbotten </t>
  </si>
  <si>
    <t xml:space="preserve"> Kommunalförbundet i Västernorrlands län</t>
  </si>
  <si>
    <t>Regulatory body</t>
  </si>
  <si>
    <t xml:space="preserve">Regional kollektivtrafikmyndighet </t>
  </si>
  <si>
    <t xml:space="preserve"> Kollektivtrafikmyndigheten i Västerbottens Län</t>
  </si>
  <si>
    <t>Regional public transport authority</t>
  </si>
  <si>
    <t>Invånare, miljoner</t>
  </si>
  <si>
    <t>Spårlängd per miljon invånare</t>
  </si>
  <si>
    <t>Underlag till figur 1</t>
  </si>
  <si>
    <t>Underlag till figur 1.2</t>
  </si>
  <si>
    <t>Elektrifierad spårlängd per miljon invånare</t>
  </si>
  <si>
    <t>Plankorsningar</t>
  </si>
  <si>
    <t>Underlag till figur 1.3</t>
  </si>
  <si>
    <t>Underlag till figur 2.1</t>
  </si>
  <si>
    <t>Dragfordon godstrafik</t>
  </si>
  <si>
    <t>Dragfordon persontrafik</t>
  </si>
  <si>
    <t>Personvagnar i mototvagnar</t>
  </si>
  <si>
    <t>Lokdragna personvagnar</t>
  </si>
  <si>
    <t>Underlag till figur 2.2</t>
  </si>
  <si>
    <t>Underlag till figur 2.3</t>
  </si>
  <si>
    <t>Spårvägsfordon</t>
  </si>
  <si>
    <t>Underlag till figur 3.1</t>
  </si>
  <si>
    <t>Underlag till figur 3.2</t>
  </si>
  <si>
    <t>Underlag till figur 3.3</t>
  </si>
  <si>
    <t>Sittplatskilometer</t>
  </si>
  <si>
    <t>Ståplatskilometer</t>
  </si>
  <si>
    <t>Underlag till figur 3.4</t>
  </si>
  <si>
    <t>Underlag till figur 4.1</t>
  </si>
  <si>
    <t>Underlag till figur 4.2</t>
  </si>
  <si>
    <t>Underlag till figur 4.3</t>
  </si>
  <si>
    <t>Vagnslast</t>
  </si>
  <si>
    <t>Underlag till figur 4.4</t>
  </si>
  <si>
    <t>Underlag till figur 4.5</t>
  </si>
  <si>
    <t>Underlag till figur 5.1</t>
  </si>
  <si>
    <t>Underlag till figur 5.2</t>
  </si>
  <si>
    <t>Underlag till figur 5.3</t>
  </si>
  <si>
    <t>Underlag till figur 6.1</t>
  </si>
  <si>
    <t>Underlag till figur 6.2</t>
  </si>
  <si>
    <t>Underlag till figur 6.3</t>
  </si>
  <si>
    <t>– härav utan stöd</t>
  </si>
  <si>
    <t>- of which with containers and swap bodies</t>
  </si>
  <si>
    <t>Seat- and standing place-kilometres</t>
  </si>
  <si>
    <t>- of which standing place-kilometres</t>
  </si>
  <si>
    <t>Regional trafik(%)</t>
  </si>
  <si>
    <t>Långväga trafik(%)</t>
  </si>
  <si>
    <t>Danmark (milj. tonkm)</t>
  </si>
  <si>
    <t>Finland (milj. tonkm)</t>
  </si>
  <si>
    <t>Sverige (milj. tonkm)</t>
  </si>
  <si>
    <t>Norge (milj. tonkm)</t>
  </si>
  <si>
    <t>Danmark (Antal passagerare, tusental)</t>
  </si>
  <si>
    <t>Finland (Antal passagerare, tusental)</t>
  </si>
  <si>
    <t>Sverige (Antal passagerare, tusental)</t>
  </si>
  <si>
    <t>Norge (Antal passagerare, tusental)</t>
  </si>
  <si>
    <t>Regional trafik(miljoner pkm)</t>
  </si>
  <si>
    <t>Långväga trafik(miljoner pkm)</t>
  </si>
  <si>
    <t>Danmark (miljoner pkm)</t>
  </si>
  <si>
    <t>Finland (miljoner pkm)</t>
  </si>
  <si>
    <t>Sverige (miljoner pkm)</t>
  </si>
  <si>
    <t>Norge (miljoner pkm)</t>
  </si>
  <si>
    <t xml:space="preserve"> Railcare Logistik AB</t>
  </si>
  <si>
    <t xml:space="preserve">– härav med stöd från regionala kollektivtrafikmyndigheter </t>
  </si>
  <si>
    <t>Utan stöd</t>
  </si>
  <si>
    <t>Statligt stöd</t>
  </si>
  <si>
    <t xml:space="preserve">Stöd från regionala kollektivtrafikmyndigheter </t>
  </si>
  <si>
    <t>Underlag till figur 5.4</t>
  </si>
  <si>
    <t>Underlag till figur 5.5</t>
  </si>
  <si>
    <t>Personkilometer (miljoner) Spårväg</t>
  </si>
  <si>
    <t>Personkilometer (miljoner) Tunnelbana</t>
  </si>
  <si>
    <t>Kombi - containrar och växelflak</t>
  </si>
  <si>
    <t>Kombi - lastbilar och semitrailers</t>
  </si>
  <si>
    <t>Komb</t>
  </si>
  <si>
    <t>– of which with state subsidies</t>
  </si>
  <si>
    <t>– of which with subsidies from regional public transport authorities</t>
  </si>
  <si>
    <t>– of which without subsidies</t>
  </si>
  <si>
    <t>Före 2002 inkluderar uppgifterna tonkilometer av tomma privatvagnar.</t>
  </si>
  <si>
    <t xml:space="preserve">In 1991, the TGOJ lines (316 km) were transferred to the </t>
  </si>
  <si>
    <t>State network.</t>
  </si>
  <si>
    <t xml:space="preserve"> Mälardalstrafik MÄLAB AB</t>
  </si>
  <si>
    <t xml:space="preserve"> Transdev Sverige AB</t>
  </si>
  <si>
    <t>Kombitransporter</t>
  </si>
  <si>
    <t>Transporterad godsmängd (tusen ton)</t>
  </si>
  <si>
    <t>Tonnes carried (in thousands)</t>
  </si>
  <si>
    <t>Med containrar och växelflak</t>
  </si>
  <si>
    <t>- härav exklusive lastbärare</t>
  </si>
  <si>
    <t>- excluding tare weight of transport units</t>
  </si>
  <si>
    <t>Transportarbete (miljoner tonkilometer)</t>
  </si>
  <si>
    <t>Transport performance (million tonne-kilometres)</t>
  </si>
  <si>
    <t>Transporterade enheter (tusental)</t>
  </si>
  <si>
    <t>Units carried (in thousands)</t>
  </si>
  <si>
    <t>Containrar och växelflak, tjugofotsekvivalenter (TEU)</t>
  </si>
  <si>
    <t>- härav andelen lastade (procent)</t>
  </si>
  <si>
    <t>- of which loaded (percent)</t>
  </si>
  <si>
    <t>Intermodal transport</t>
  </si>
  <si>
    <t>Med semi-trailers och andra vägfordon</t>
  </si>
  <si>
    <t>Semi-trailers och andra vägfordon</t>
  </si>
  <si>
    <t>- of which with semi-trailers and other road vehicles</t>
  </si>
  <si>
    <t>Semi-trailers and other road vehicles</t>
  </si>
  <si>
    <t>Containers and swap bodies, Twenty-foot Equivalent Units</t>
  </si>
  <si>
    <r>
      <t xml:space="preserve">Sågade och hyvlade trävaror </t>
    </r>
    <r>
      <rPr>
        <sz val="8"/>
        <rFont val="Arial"/>
        <family val="2"/>
      </rPr>
      <t xml:space="preserve"> /</t>
    </r>
    <r>
      <rPr>
        <i/>
        <sz val="8"/>
        <rFont val="Arial"/>
        <family val="2"/>
      </rPr>
      <t xml:space="preserve">  Manufactured products of wood </t>
    </r>
  </si>
  <si>
    <t xml:space="preserve"> MTR Express AB</t>
  </si>
  <si>
    <t xml:space="preserve"> Öresundsbro Konsortiet</t>
  </si>
  <si>
    <t xml:space="preserve"> Öresundståg AB </t>
  </si>
  <si>
    <t>Inrikes</t>
  </si>
  <si>
    <t>Utrikes</t>
  </si>
  <si>
    <t>Summa inrikes</t>
  </si>
  <si>
    <t>Inrikes och utrikes</t>
  </si>
  <si>
    <t>Summa utrikes</t>
  </si>
  <si>
    <t>Definitioner</t>
  </si>
  <si>
    <t>Tabelldefinitioner:</t>
  </si>
  <si>
    <t>Snabblänkar till respektive tabellavsnitt:</t>
  </si>
  <si>
    <r>
      <rPr>
        <b/>
        <sz val="10"/>
        <rFont val="Arial"/>
        <family val="2"/>
      </rPr>
      <t>Kolumn 7</t>
    </r>
    <r>
      <rPr>
        <sz val="10"/>
        <rFont val="Arial"/>
        <family val="2"/>
      </rPr>
      <t>: Anger summan av statliga och enskilda trafikerade banor i kilometer (kolumn 2–6).</t>
    </r>
  </si>
  <si>
    <r>
      <rPr>
        <b/>
        <sz val="10"/>
        <rFont val="Arial"/>
        <family val="2"/>
      </rPr>
      <t>Kolumn 8</t>
    </r>
    <r>
      <rPr>
        <sz val="10"/>
        <rFont val="Arial"/>
        <family val="2"/>
      </rPr>
      <t>: Anger hur stor del av banlängden i kolumn 7 som varit elektrifierad.</t>
    </r>
  </si>
  <si>
    <r>
      <rPr>
        <b/>
        <sz val="10"/>
        <rFont val="Arial"/>
        <family val="2"/>
      </rPr>
      <t>Kolumn 9</t>
    </r>
    <r>
      <rPr>
        <sz val="10"/>
        <rFont val="Arial"/>
        <family val="2"/>
      </rPr>
      <t>: Anger hur stor del av banlängden i kolumn 7 som haft dubbel- eller flerspår.</t>
    </r>
  </si>
  <si>
    <r>
      <rPr>
        <b/>
        <sz val="10"/>
        <rFont val="Arial"/>
        <family val="2"/>
      </rPr>
      <t>Kolumn 10</t>
    </r>
    <r>
      <rPr>
        <sz val="10"/>
        <rFont val="Arial"/>
        <family val="2"/>
      </rPr>
      <t>: Anger hur stor del av banlängden i kolumn 7 som varit utrustad med automatisk tågkontroll (ATC). ATC är ett säkerhetssystem som övervakar och ingriper om tågen kör för fort eller mot stoppsignal.</t>
    </r>
  </si>
  <si>
    <r>
      <rPr>
        <b/>
        <sz val="10"/>
        <rFont val="Arial"/>
        <family val="2"/>
      </rPr>
      <t>Kolumn 38</t>
    </r>
    <r>
      <rPr>
        <sz val="10"/>
        <rFont val="Arial"/>
        <family val="2"/>
      </rPr>
      <t>: Anger förbrukat bränsle för ångdrift i järnvägstrafik, omräknat till ton utländska stenkol.</t>
    </r>
  </si>
  <si>
    <r>
      <rPr>
        <b/>
        <sz val="10"/>
        <rFont val="Arial"/>
        <family val="2"/>
      </rPr>
      <t>Kolumn 39</t>
    </r>
    <r>
      <rPr>
        <sz val="10"/>
        <rFont val="Arial"/>
        <family val="2"/>
      </rPr>
      <t>: Anger förbrukad mängd diesel i järnvägstrafik, i kubikmeter.</t>
    </r>
  </si>
  <si>
    <r>
      <t>Rad 10–14:</t>
    </r>
    <r>
      <rPr>
        <sz val="10"/>
        <rFont val="Arial"/>
        <family val="2"/>
      </rPr>
      <t xml:space="preserve"> Anger längden i kilometer på de banor i rad 3–7 som är elektrifierade.</t>
    </r>
  </si>
  <si>
    <r>
      <t xml:space="preserve">Rad 15: </t>
    </r>
    <r>
      <rPr>
        <sz val="10"/>
        <rFont val="Arial"/>
        <family val="2"/>
      </rPr>
      <t>Anger längden i kilometer på de banor i rad 7 som är utrustade med linje- och fjärrblockering. Linjeblockering är säkerhetssystem inom järnvägen som hindrar tåg från att få grön signal (körsignal) in på ett spår där ett annat tåg befinner sig. Fjärrblockering förutsätter att linjeblockering finns och gör det möjligt att fjärrstyra stationer och signaler från en trafikledningscentral.</t>
    </r>
  </si>
  <si>
    <r>
      <t xml:space="preserve">Rad 16: </t>
    </r>
    <r>
      <rPr>
        <sz val="10"/>
        <rFont val="Arial"/>
        <family val="2"/>
      </rPr>
      <t>Anger längden i kilometer på de banor i rad 7 som är utrustade med Automatisk tågkontroll (ATC). ATC är ett säkerhetssystem inom järnvägen som övervakar och ingriper om tågen kör för fort eller mot stoppsignal.</t>
    </r>
  </si>
  <si>
    <r>
      <t xml:space="preserve">Rad 1–3: </t>
    </r>
    <r>
      <rPr>
        <sz val="10"/>
        <rFont val="Arial"/>
        <family val="2"/>
      </rPr>
      <t xml:space="preserve">Anger den tillgängliga personalstyrkan som arbetar med banarbeten och som är anställd av infrastrukturförvaltare eller entreprenörer inom statligt ägda bolag. </t>
    </r>
  </si>
  <si>
    <r>
      <t xml:space="preserve">Rad 7–9: </t>
    </r>
    <r>
      <rPr>
        <sz val="10"/>
        <rFont val="Arial"/>
        <family val="2"/>
      </rPr>
      <t>Anger den totala anställda personalstyrkan för infrastrukturarbeten och trafikledning som är anställd av infrastrukturförvaltare eller tågoperatörer.</t>
    </r>
  </si>
  <si>
    <r>
      <rPr>
        <b/>
        <sz val="10"/>
        <rFont val="Arial"/>
        <family val="2"/>
      </rPr>
      <t xml:space="preserve">Rad 2–4: </t>
    </r>
    <r>
      <rPr>
        <sz val="10"/>
        <rFont val="Arial"/>
        <family val="2"/>
      </rPr>
      <t>Anger längden i kilometer på de banor, inklusive sidobanor, som trafikerats. Bandelar ingår om bandelen varit tillfälligt ur bruk på grund av banarbeten och dylikt. Bandelar som inte trafikerats exkluderas om trafiken lagts ned permanent. Så även vid omfattande nykonstruktions- och utbyggnadsarbeten (aktuella fall kommenteras i tabellerna). En bana består av ett eller flera intilliggande spår.</t>
    </r>
  </si>
  <si>
    <r>
      <rPr>
        <b/>
        <sz val="10"/>
        <rFont val="Arial"/>
        <family val="2"/>
      </rPr>
      <t xml:space="preserve">Rad 5: </t>
    </r>
    <r>
      <rPr>
        <sz val="10"/>
        <rFont val="Arial"/>
        <family val="2"/>
      </rPr>
      <t>Anger längden i kilometer på de banor i rad 4 som är utrustade med linje- och fjärrblockering. Linjeblockering är säkerhetssystem inom järnvägen som hindrar tåg från att få grön signal (körsignal) in på ett spår där ett annat tåg befinner sig. Fjärrblockering förutsätter att linjeblockering finns och gör det möjligt att fjärrstyra stationer och signaler från en trafikledningscentral.</t>
    </r>
  </si>
  <si>
    <r>
      <rPr>
        <b/>
        <sz val="10"/>
        <rFont val="Arial"/>
        <family val="2"/>
      </rPr>
      <t xml:space="preserve">Rad 6: </t>
    </r>
    <r>
      <rPr>
        <sz val="10"/>
        <rFont val="Arial"/>
        <family val="2"/>
      </rPr>
      <t>Anger längden i kilometer på de banor i rad 4 som är utrustade med Automatisk tågkontroll (ATC). ATC är ett säkerhetssystem inom spårvägen som övervakar och ingriper om tågen kör för fort eller mot stoppsignal.</t>
    </r>
  </si>
  <si>
    <r>
      <rPr>
        <b/>
        <sz val="10"/>
        <rFont val="Arial"/>
        <family val="2"/>
      </rPr>
      <t xml:space="preserve">Rad 4–6: </t>
    </r>
    <r>
      <rPr>
        <sz val="10"/>
        <rFont val="Arial"/>
        <family val="2"/>
      </rPr>
      <t>Anger den tillgängliga personalstyrkan som arbetar med trafikledning och som är anställd av infrastrukturförvaltare eller spårvägsoperatörer.</t>
    </r>
  </si>
  <si>
    <r>
      <rPr>
        <b/>
        <sz val="10"/>
        <rFont val="Arial"/>
        <family val="2"/>
      </rPr>
      <t xml:space="preserve">Rad 7–9: </t>
    </r>
    <r>
      <rPr>
        <sz val="10"/>
        <rFont val="Arial"/>
        <family val="2"/>
      </rPr>
      <t>Anger den totala anställda personalstyrkan för infrastrukturarbeten och trafikledning som är anställd av infrastrukturförvaltare eller spårvägsoperatörer.</t>
    </r>
  </si>
  <si>
    <r>
      <rPr>
        <b/>
        <sz val="10"/>
        <rFont val="Arial"/>
        <family val="2"/>
      </rPr>
      <t>Rad 1–3:</t>
    </r>
    <r>
      <rPr>
        <sz val="10"/>
        <rFont val="Arial"/>
        <family val="2"/>
      </rPr>
      <t xml:space="preserve"> Anger den tillgängliga personalstyrkan som arbetar med banarbeten och som är anställd av infrastrukturförvaltare.</t>
    </r>
  </si>
  <si>
    <r>
      <rPr>
        <b/>
        <sz val="10"/>
        <rFont val="Arial"/>
        <family val="2"/>
      </rPr>
      <t xml:space="preserve">Rad 2–4: </t>
    </r>
    <r>
      <rPr>
        <sz val="10"/>
        <rFont val="Arial"/>
        <family val="2"/>
      </rPr>
      <t>Anger längden i kilometer på de banor, inklusive sidobanor som trafikerats av persontrafik. Bandelar ingår om bandelen varit tillfälligt ur bruk på grund av banarbeten och dylikt. Bandelar som inte trafikerats exkluderas om trafiken lagts ned permanent. Så även vid omfattande nykonstruktions- och ombyggnadsarbeten (dessa fall kommenteras i tabellerna). En bana består av ett eller flera intilliggande spår.</t>
    </r>
  </si>
  <si>
    <r>
      <rPr>
        <b/>
        <sz val="10"/>
        <rFont val="Arial"/>
        <family val="2"/>
      </rPr>
      <t xml:space="preserve">Rad 5: </t>
    </r>
    <r>
      <rPr>
        <sz val="10"/>
        <rFont val="Arial"/>
        <family val="2"/>
      </rPr>
      <t>Anger längden i kilometer på de banor i rad 4 som är utrustade med linje- och fjärrblockering. Linjeblockering är säkerhetssystem inom tunnelbanan som hindrar tåg från att få grön signal (körsignal) in på ett spår där ett annat tåg befinner sig. Fjärrblockering förutsätter att linjeblockering finns och gör det möjligt att fjärrstyra stationer och signaler från en trafikledningscentral.</t>
    </r>
  </si>
  <si>
    <r>
      <rPr>
        <b/>
        <sz val="10"/>
        <rFont val="Arial"/>
        <family val="2"/>
      </rPr>
      <t xml:space="preserve">Rad 6: </t>
    </r>
    <r>
      <rPr>
        <sz val="10"/>
        <rFont val="Arial"/>
        <family val="2"/>
      </rPr>
      <t>Anger längden i kilometer på de banor i rad 4 som är utrustade med Automatisk tågkontroll (ATC). ATC är ett säkerhetssystem inom tunnelbanan som övervakar och ingriper om tågen kör för fort eller mot stoppsignal.</t>
    </r>
  </si>
  <si>
    <r>
      <rPr>
        <b/>
        <sz val="10"/>
        <rFont val="Arial"/>
        <family val="2"/>
      </rPr>
      <t xml:space="preserve">Kolumn 2–3: </t>
    </r>
    <r>
      <rPr>
        <sz val="10"/>
        <rFont val="Arial"/>
        <family val="2"/>
      </rPr>
      <t>Anger längden på enkelspåriga banor samt andelen elektrifierade bandelar.</t>
    </r>
  </si>
  <si>
    <r>
      <rPr>
        <b/>
        <sz val="10"/>
        <rFont val="Arial"/>
        <family val="2"/>
      </rPr>
      <t xml:space="preserve">Kolumn 4–5: </t>
    </r>
    <r>
      <rPr>
        <sz val="10"/>
        <rFont val="Arial"/>
        <family val="2"/>
      </rPr>
      <t xml:space="preserve">Anger längden på dubbel- och flerspåriga banor samt andelen elektrifierade bandelar. </t>
    </r>
  </si>
  <si>
    <r>
      <rPr>
        <b/>
        <sz val="10"/>
        <rFont val="Arial"/>
        <family val="2"/>
      </rPr>
      <t xml:space="preserve">Kolumn 6–7: </t>
    </r>
    <r>
      <rPr>
        <sz val="10"/>
        <rFont val="Arial"/>
        <family val="2"/>
      </rPr>
      <t xml:space="preserve">Anger längden på samtliga banor samt andelen elektrifierade bandelar. </t>
    </r>
  </si>
  <si>
    <r>
      <rPr>
        <b/>
        <sz val="10"/>
        <rFont val="Arial"/>
        <family val="2"/>
      </rPr>
      <t xml:space="preserve">Rad 4 och 16: </t>
    </r>
    <r>
      <rPr>
        <sz val="10"/>
        <rFont val="Arial"/>
        <family val="2"/>
      </rPr>
      <t>Vagnar med littera D (postvagnar i godstrafik) ingår.</t>
    </r>
  </si>
  <si>
    <r>
      <rPr>
        <b/>
        <sz val="10"/>
        <rFont val="Arial"/>
        <family val="2"/>
      </rPr>
      <t xml:space="preserve">Rad 5, 17 och 28: </t>
    </r>
    <r>
      <rPr>
        <sz val="10"/>
        <rFont val="Arial"/>
        <family val="2"/>
      </rPr>
      <t>Vagnar med littera Z (cisternvagnar), U (specialvagnar) och Q (specialvagnar för tjänstetrafik) ingår.</t>
    </r>
  </si>
  <si>
    <r>
      <rPr>
        <b/>
        <sz val="10"/>
        <rFont val="Arial"/>
        <family val="2"/>
      </rPr>
      <t xml:space="preserve">Rad 7–12, 19–24 och 30–34: </t>
    </r>
    <r>
      <rPr>
        <sz val="10"/>
        <rFont val="Arial"/>
        <family val="2"/>
      </rPr>
      <t>Anger den totala lastkapaciteten i ton för godsvagnar (summan av den maximalt godkända vikten som vagnar kan bära). Samma fördelningar som i rad 1–6, 13–18 och 25–29.</t>
    </r>
  </si>
  <si>
    <r>
      <rPr>
        <b/>
        <sz val="10"/>
        <rFont val="Arial"/>
        <family val="2"/>
      </rPr>
      <t xml:space="preserve">Rad 2–3: </t>
    </r>
    <r>
      <rPr>
        <sz val="10"/>
        <rFont val="Arial"/>
        <family val="2"/>
      </rPr>
      <t>Anger antalet sitt- och ståplatser i spårvagnar och spårvagnssätt.</t>
    </r>
  </si>
  <si>
    <r>
      <rPr>
        <b/>
        <sz val="10"/>
        <rFont val="Arial"/>
        <family val="2"/>
      </rPr>
      <t xml:space="preserve">Rad 2–3: </t>
    </r>
    <r>
      <rPr>
        <sz val="10"/>
        <rFont val="Arial"/>
        <family val="2"/>
      </rPr>
      <t>Anger antalet sitt- och ståplatser i tunnelbanevagnssätt.</t>
    </r>
  </si>
  <si>
    <r>
      <rPr>
        <b/>
        <sz val="10"/>
        <rFont val="Arial"/>
        <family val="2"/>
      </rPr>
      <t xml:space="preserve">Rad 4, 8 och 14: </t>
    </r>
    <r>
      <rPr>
        <sz val="10"/>
        <rFont val="Arial"/>
        <family val="2"/>
      </rPr>
      <t>Anger den totala transporterade godsmängden och fördelningen på inrikes- och utrikestrafik.</t>
    </r>
  </si>
  <si>
    <r>
      <rPr>
        <b/>
        <sz val="10"/>
        <rFont val="Arial"/>
        <family val="2"/>
      </rPr>
      <t xml:space="preserve">Rad 4: </t>
    </r>
    <r>
      <rPr>
        <sz val="10"/>
        <rFont val="Arial"/>
        <family val="2"/>
      </rPr>
      <t>Anger den totala godsmängden i rad 3 med avdrag för beräknad vikt av lastenheten. Vikt av pallar och förpackningar ingår.</t>
    </r>
  </si>
  <si>
    <r>
      <rPr>
        <b/>
        <sz val="10"/>
        <rFont val="Arial"/>
        <family val="2"/>
      </rPr>
      <t xml:space="preserve">Rad 8: </t>
    </r>
    <r>
      <rPr>
        <sz val="10"/>
        <rFont val="Arial"/>
        <family val="2"/>
      </rPr>
      <t>Anger det totala transportarbetet i rad 7, med avdrag för beräknade tonkilometer av lastbärare. Vikt av pallar och förpackningar ingår.</t>
    </r>
  </si>
  <si>
    <r>
      <rPr>
        <b/>
        <sz val="10"/>
        <rFont val="Arial"/>
        <family val="2"/>
      </rPr>
      <t xml:space="preserve">Rad 9–10: </t>
    </r>
    <r>
      <rPr>
        <sz val="10"/>
        <rFont val="Arial"/>
        <family val="2"/>
      </rPr>
      <t>Anger antalet transporterade containrar och växelflak i tjugofotsekvivalenter (TEU) på järnväg i Sverige samt hur stor andel av dessa som varit lastade med gods. TEU är en enhet baserad på en ISO-container med en längd på 20 fot (6,10 m) som fungerar som ett standardiserat mått för containrar med olika kapaciteter. En 20-fots ISO-container är lika med 1 TEU.</t>
    </r>
  </si>
  <si>
    <r>
      <rPr>
        <b/>
        <sz val="10"/>
        <rFont val="Arial"/>
        <family val="2"/>
      </rPr>
      <t xml:space="preserve">Rad 11–12: </t>
    </r>
    <r>
      <rPr>
        <sz val="10"/>
        <rFont val="Arial"/>
        <family val="2"/>
      </rPr>
      <t>Anger antalet transporterade semi-trailers och andra vägfordon på järnväg i Sverige samt hur stor andel av dessa som varit lastade med gods.</t>
    </r>
  </si>
  <si>
    <r>
      <rPr>
        <b/>
        <sz val="10"/>
        <rFont val="Arial"/>
        <family val="2"/>
      </rPr>
      <t xml:space="preserve">Rad 1–13: </t>
    </r>
    <r>
      <rPr>
        <sz val="10"/>
        <rFont val="Arial"/>
        <family val="2"/>
      </rPr>
      <t>Anger hur den transporterade mängden av farligt gods fördelas på olika varuslag. Varuslagsindelningen följer klasserna i det internationella regelverket RID.</t>
    </r>
  </si>
  <si>
    <r>
      <rPr>
        <b/>
        <sz val="10"/>
        <rFont val="Arial"/>
        <family val="2"/>
      </rPr>
      <t xml:space="preserve">Rad 14: </t>
    </r>
    <r>
      <rPr>
        <sz val="10"/>
        <rFont val="Arial"/>
        <family val="2"/>
      </rPr>
      <t>Anger den totala transporterade mängden av farligt gods.</t>
    </r>
  </si>
  <si>
    <r>
      <rPr>
        <b/>
        <sz val="10"/>
        <rFont val="Arial"/>
        <family val="2"/>
      </rPr>
      <t xml:space="preserve">Rad 15–27: </t>
    </r>
    <r>
      <rPr>
        <sz val="10"/>
        <rFont val="Arial"/>
        <family val="2"/>
      </rPr>
      <t>Anger transportarbete i tonkilometer för de olika varuslagen av farligt gods. I övrigt samma definitioner som i rad 1–13. Tonkilometer på utländsk sträcka ingår inte.</t>
    </r>
  </si>
  <si>
    <r>
      <t xml:space="preserve">Rad 28: </t>
    </r>
    <r>
      <rPr>
        <sz val="10"/>
        <rFont val="Arial"/>
        <family val="2"/>
      </rPr>
      <t>Anger totala transportarbetet i tonkilometer för farligt gods. Tonkilometer på utländsk sträcka ingår inte.</t>
    </r>
  </si>
  <si>
    <r>
      <rPr>
        <b/>
        <sz val="10"/>
        <rFont val="Arial"/>
        <family val="2"/>
      </rPr>
      <t xml:space="preserve">Rad 1–2: </t>
    </r>
    <r>
      <rPr>
        <sz val="10"/>
        <rFont val="Arial"/>
        <family val="2"/>
      </rPr>
      <t>Anger antalet resor i järnvägsföretagens egentrafiktåg och hur många av dessa som genomförts med färdbevis utfärdade av regionala kollektivtrafikmyndigheter med giltighet för järnvägsföretagens egentrafiktåg.</t>
    </r>
  </si>
  <si>
    <r>
      <rPr>
        <b/>
        <sz val="10"/>
        <rFont val="Arial"/>
        <family val="2"/>
      </rPr>
      <t xml:space="preserve">Rad 3: </t>
    </r>
    <r>
      <rPr>
        <sz val="10"/>
        <rFont val="Arial"/>
        <family val="2"/>
      </rPr>
      <t xml:space="preserve">Anger antalet resor i regionala kollektivtrafikmyndigheters tåg. </t>
    </r>
  </si>
  <si>
    <r>
      <t xml:space="preserve">Rad 4: </t>
    </r>
    <r>
      <rPr>
        <sz val="10"/>
        <rFont val="Arial"/>
        <family val="2"/>
      </rPr>
      <t>Anger det totala antalet resor (summan av rad 1 och 3).</t>
    </r>
  </si>
  <si>
    <t xml:space="preserve">Statistiken om bantrafikens energianvändning publiceras från och med </t>
  </si>
  <si>
    <t xml:space="preserve">The statistics concerning energy use of the rail traffic are published </t>
  </si>
  <si>
    <r>
      <rPr>
        <b/>
        <sz val="10"/>
        <rFont val="Arial"/>
        <family val="2"/>
      </rPr>
      <t xml:space="preserve">Rad 3, 7 och 12: </t>
    </r>
    <r>
      <rPr>
        <sz val="10"/>
        <rFont val="Arial"/>
        <family val="2"/>
      </rPr>
      <t>Anger den totala godsmängden transporterad som kombigods på järnväg och fördelningen på inrikes- och utrikestrafik. Med kombigods avses gods som fraktas i en lastenhet avsedd för att flyttas över mellan lastbil, tåg och fartyg.</t>
    </r>
  </si>
  <si>
    <t>miljoner bruttotonkm av vagnar</t>
  </si>
  <si>
    <t>Statistikens omfattning och avgränsningar:</t>
  </si>
  <si>
    <r>
      <rPr>
        <b/>
        <sz val="10"/>
        <rFont val="Arial"/>
        <family val="2"/>
      </rPr>
      <t>Kolumn 27</t>
    </r>
    <r>
      <rPr>
        <sz val="10"/>
        <rFont val="Arial"/>
        <family val="2"/>
      </rPr>
      <t xml:space="preserve">: Anger totala antalet platskilometer av tåg i kommersiell persontrafik. Ett tågs platskilometer beräknas som tågets körda kilometer gånger antalet sittplatser i tåget. Ligg- och sovplatser i personvagnar ingår också. Sittplatser i restaurangvagnar, caféavdelningar samt i konverteringsbara sov- och liggvagnar ingår inte i uppgiften. Platskilometer på utländsk sträcka ingår inte. </t>
    </r>
  </si>
  <si>
    <r>
      <t xml:space="preserve">Rad 21–24: </t>
    </r>
    <r>
      <rPr>
        <sz val="10"/>
        <rFont val="Arial"/>
        <family val="2"/>
      </rPr>
      <t xml:space="preserve">Anger de vägskyddsanordningar som förekommer vid plankorsningarna i rad 19. Exempel på enkla skydd är gångfållor och vägmärken. </t>
    </r>
  </si>
  <si>
    <r>
      <t xml:space="preserve">Rad 4–6: </t>
    </r>
    <r>
      <rPr>
        <sz val="10"/>
        <rFont val="Arial"/>
        <family val="2"/>
      </rPr>
      <t>Anger den tillgängliga personalstyrkan som arbetar med trafikledning och som är anställd av infrastrukturförvaltare eller tågoperatörer.</t>
    </r>
  </si>
  <si>
    <r>
      <t xml:space="preserve">Rad 25: </t>
    </r>
    <r>
      <rPr>
        <sz val="10"/>
        <rFont val="Arial"/>
        <family val="2"/>
      </rPr>
      <t>Anger investeringskostnader i järnvägsinfrastrukturen. Avser exempelvis nykonstruktion av banor eller utbyggnad av befintliga bandelar. Infrastruktur inkluderar mark, byggnader, banor, broar och tunnlar, likväl som fast monterade delar och installationer kopplade till dem. Avser inte rullande materiel. Investeringarna är angivna i svenska kronor och löpande priser.</t>
    </r>
  </si>
  <si>
    <r>
      <t xml:space="preserve">Rad 26: </t>
    </r>
    <r>
      <rPr>
        <sz val="10"/>
        <rFont val="Arial"/>
        <family val="2"/>
      </rPr>
      <t>Anger reinvesteringskostnader i järnvägsinfrastrukturen. Avser exempelvis förnyelser eller större reparationer för att återställa anläggningen till det skick den hade när den var ny. Reinvesteringarna är angivna i svenska kronor och löpande priser.</t>
    </r>
  </si>
  <si>
    <r>
      <rPr>
        <b/>
        <sz val="10"/>
        <rFont val="Arial"/>
        <family val="2"/>
      </rPr>
      <t xml:space="preserve">Rad 7: </t>
    </r>
    <r>
      <rPr>
        <sz val="10"/>
        <rFont val="Arial"/>
        <family val="2"/>
      </rPr>
      <t>Anger investeringskostnader i spårvägsinfrastrukturen. Avser exempelvis nykonstruktion av banor eller utbyggnad av befintliga bandelar. Infrastruktur inkluderar mark, byggnader, banor, broar och tunnlar, likväl som fast monterade delar och installationer kopplade till dem. Avser inte rullande materiel. Investeringarna är angivna i svenska kronor och löpande priser.</t>
    </r>
  </si>
  <si>
    <r>
      <rPr>
        <b/>
        <sz val="10"/>
        <rFont val="Arial"/>
        <family val="2"/>
      </rPr>
      <t xml:space="preserve">Rad 7: </t>
    </r>
    <r>
      <rPr>
        <sz val="10"/>
        <rFont val="Arial"/>
        <family val="2"/>
      </rPr>
      <t>Anger investeringskostnader i tunnelbaneinfrastrukturen. Avser exempelvis nykonstruktion av banor eller utbyggnad av befintliga bandelar. Infrastruktur inkluderar mark, byggnader, banor, broar och tunnlar, likväl som fast monterade delar och installationer kopplade till dem. Avser inte rullande materiel. Investeringarna är angivna i svenska kronor och löpande priser.</t>
    </r>
  </si>
  <si>
    <r>
      <rPr>
        <b/>
        <sz val="10"/>
        <rFont val="Arial"/>
        <family val="2"/>
      </rPr>
      <t xml:space="preserve">Rad 8: </t>
    </r>
    <r>
      <rPr>
        <sz val="10"/>
        <rFont val="Arial"/>
        <family val="2"/>
      </rPr>
      <t>Anger reinvesteringskostnader i tunnelbaneinfrastrukturen. Avser exempelvis förnyelser eller större reparationer för att återställa anläggningen till det skick den hade när den var ny. Reinvesteringarna är angivna i svenska kronor och löpande priser.</t>
    </r>
  </si>
  <si>
    <r>
      <rPr>
        <b/>
        <sz val="10"/>
        <rFont val="Arial"/>
        <family val="2"/>
      </rPr>
      <t xml:space="preserve">Rad 8: </t>
    </r>
    <r>
      <rPr>
        <sz val="10"/>
        <rFont val="Arial"/>
        <family val="2"/>
      </rPr>
      <t>Anger reinvesteringskostnader i spårvägsinfrastrukturen. Avser exempelvis förnyelser eller större reparationer för att återställa anläggningen till det skick den hade när den var ny. Reinvesteringarna är angivna i svenska kronor och löpande priser.</t>
    </r>
  </si>
  <si>
    <r>
      <rPr>
        <b/>
        <sz val="10"/>
        <rFont val="Arial"/>
        <family val="2"/>
      </rPr>
      <t xml:space="preserve">Rad 10: </t>
    </r>
    <r>
      <rPr>
        <sz val="10"/>
        <rFont val="Arial"/>
        <family val="2"/>
      </rPr>
      <t>Anger summan av investerings-, reinvesterings- och underhållskostnader, rad 7–9. Anges i svenska kronor och löpande priser.</t>
    </r>
  </si>
  <si>
    <t>- härav i fordon med snabbtågskapacitet</t>
  </si>
  <si>
    <t>Antal fordon med sittplatser</t>
  </si>
  <si>
    <t>Lokdragna fordon</t>
  </si>
  <si>
    <r>
      <rPr>
        <b/>
        <sz val="10"/>
        <rFont val="Arial"/>
        <family val="2"/>
      </rPr>
      <t>Kolumn 26</t>
    </r>
    <r>
      <rPr>
        <sz val="10"/>
        <rFont val="Arial"/>
        <family val="2"/>
      </rPr>
      <t xml:space="preserve">: Anger totala antalet vagnaxelkilometer av tåg i kommersiell person- och godstrafik. Vagnaxelkilometer på utländsk sträcka ingår inte. Ett tågs vagnaxelkilometer beräknas som tågets körda kilometer gånger antalet hjulaxlar i tågets vagnar. </t>
    </r>
  </si>
  <si>
    <r>
      <rPr>
        <b/>
        <sz val="10"/>
        <rFont val="Arial"/>
        <family val="2"/>
      </rPr>
      <t xml:space="preserve">Rad 19–21: </t>
    </r>
    <r>
      <rPr>
        <sz val="10"/>
        <rFont val="Arial"/>
        <family val="2"/>
      </rPr>
      <t>Anger antalet platskilometer av tåg i kommersiell persontrafik, totalt och fördelat på typ av energislag. Ett tågs platskilometer beräknas som tågets körda kilometer gånger antalet sittplatser i tåget. Ligg- och sovplatser i personvagnar ingår också. Sittplatser i restaurangvagnar, caféavdelningar samt i konverteringsbara sov- och liggvagnar ingår inte i uppgiften. Platskilometer på utländsk sträcka ingår inte.</t>
    </r>
  </si>
  <si>
    <r>
      <t xml:space="preserve">Rad 27–52: </t>
    </r>
    <r>
      <rPr>
        <sz val="10"/>
        <rFont val="Arial"/>
        <family val="2"/>
      </rPr>
      <t>Anger transportarbete för kommersiell godstrafik i Sverige uppdelat i olika varugrupper och varuslag. Transportarbete av godstrafik redovisas som tonkilometer. Tonkilometer beräknas som godsmängden som lastats på en järnvägsvagn gånger den debiterade transportsträckan i kilometer. Tonkilometer på utländska sträckor ingår inte. I övrigt samma definitioner som i rad 1–26.</t>
    </r>
  </si>
  <si>
    <r>
      <rPr>
        <b/>
        <sz val="10"/>
        <rFont val="Arial"/>
        <family val="2"/>
      </rPr>
      <t xml:space="preserve">Rad 3–5: </t>
    </r>
    <r>
      <rPr>
        <sz val="10"/>
        <rFont val="Arial"/>
        <family val="2"/>
      </rPr>
      <t>Anger antalet sitt- och ståplatskilometer i kommersiell spårvägstrafik, totalt och fördelat på sitt- och ståplatser. Ett tågs sittplatskilometer beräknas som tågets körda kilometer gånger antalet sittplatser i tåget. Ett tågs ståplatskilometer beräknas som tågets körda kilometer gånger antalet godkända ståplatser i tåget. Summan av antalet sitt- och ståplatskilometer benämns platskilometer.</t>
    </r>
  </si>
  <si>
    <r>
      <rPr>
        <b/>
        <sz val="10"/>
        <rFont val="Arial"/>
        <family val="2"/>
      </rPr>
      <t>Rad 3–5:</t>
    </r>
    <r>
      <rPr>
        <sz val="10"/>
        <rFont val="Arial"/>
        <family val="2"/>
      </rPr>
      <t xml:space="preserve"> Anger antalet sitt- och ståplatskilometer i kommersiell tunnelbanetrafik, totalt och fördelat på sitt- och ståplatser. Ett tågs sittplatskilometer beräknas som tågets körda kilometer gånger antalet sittplatser i tåget. Ett tågs ståplatskilometer beräknas som tågets körda kilometer gånger antalet godkända ståplatser i tåget. Summan av antalet sitt- och ståplatskilometer benämns platskilometer.</t>
    </r>
  </si>
  <si>
    <r>
      <rPr>
        <b/>
        <sz val="10"/>
        <rFont val="Arial"/>
        <family val="2"/>
      </rPr>
      <t>Kolumn 37</t>
    </r>
    <r>
      <rPr>
        <sz val="10"/>
        <rFont val="Arial"/>
        <family val="2"/>
      </rPr>
      <t>: Anger använd elenergi (el i gigawattimmar) av järnvägstrafik. Redovisad uppgift anger den totala förbrukningen av bana och tåg inklusive förluster i nät och omformarstationer.</t>
    </r>
  </si>
  <si>
    <t>– härav internationella resor</t>
  </si>
  <si>
    <t>– härav regionala resor</t>
  </si>
  <si>
    <t>– of which international journeys</t>
  </si>
  <si>
    <t>– of which regional journeys</t>
  </si>
  <si>
    <t>Regionala resor</t>
  </si>
  <si>
    <t>Långväga resor</t>
  </si>
  <si>
    <t xml:space="preserve">Från och med 2016 ingår Öresundsbroförbindelsen i statistiken. </t>
  </si>
  <si>
    <t>As from 2016, the statistics on rail infrastructure includes</t>
  </si>
  <si>
    <r>
      <t xml:space="preserve">Rad 1: </t>
    </r>
    <r>
      <rPr>
        <sz val="10"/>
        <rFont val="Arial"/>
        <family val="2"/>
      </rPr>
      <t>Anger längden i kilometer på de spår, inklusive sidobanor, som trafikerats. Spårdelar ingår om de tillfälligt tagits ur bruk på grund av banarbeten och dylikt. Spårdelar som inte trafikerats exkluderas om trafiken lagts ned permanent. Så även vid omfattande nykonstruktions- och utbyggnadsarbeten (aktuella fall kommenteras i tabellerna).</t>
    </r>
  </si>
  <si>
    <r>
      <rPr>
        <b/>
        <sz val="10"/>
        <rFont val="Arial"/>
        <family val="2"/>
      </rPr>
      <t xml:space="preserve">Rad 1: </t>
    </r>
    <r>
      <rPr>
        <sz val="10"/>
        <rFont val="Arial"/>
        <family val="2"/>
      </rPr>
      <t>Anger längden i kilometer på de spår, inklusive sidobanor, som trafikerats. Spårdelar ingår om de tillfälligt tagits ur bruk på grund av banarbeten och dylikt. Spårdelar som inte trafikerats exkluderas om trafiken lagts ned permanent. Så även vid omfattande nykonstruktions- och ombyggnadsarbeten (dessa fall kommenteras i tabellerna).</t>
    </r>
  </si>
  <si>
    <r>
      <rPr>
        <b/>
        <sz val="10"/>
        <rFont val="Arial"/>
        <family val="2"/>
      </rPr>
      <t xml:space="preserve">Rad 1–6, 13–18 och 25–29: </t>
    </r>
    <r>
      <rPr>
        <sz val="10"/>
        <rFont val="Arial"/>
        <family val="2"/>
      </rPr>
      <t>Anger det totala antalet fordon med utrymme för godstransporter (godsvagnar) och hur de fördelas på typer av vagnar och typer av ägande. Ägande indelas i vagnar ägda av tågoperatörer och privatägda vagnar. Med privatägda vagnar avses sådana som inte tillhör en tågoperatör men som står till dennes förfogande enligt särskilda villkor, tillsammans med godsvagnar som hyrs ut av en tågoperatör till tredje man och som står till tågoperatörens förfogande under samma villkor. Definitionen av respektive vagnstyp finns under de radnummer där de särredovisas.</t>
    </r>
  </si>
  <si>
    <r>
      <rPr>
        <b/>
        <sz val="10"/>
        <rFont val="Arial"/>
        <family val="2"/>
      </rPr>
      <t>Rad 1–15:</t>
    </r>
    <r>
      <rPr>
        <sz val="10"/>
        <rFont val="Arial"/>
        <family val="2"/>
      </rPr>
      <t xml:space="preserve"> Anger transporterad godsmängd i ton för kommersiell godstrafik i Sverige. Som godsmängd räknas vikten av det gods som lastats på en vagn inklusive vikten av emballage och eventuella lastbärare såsom containrar, växelflak, semi-trailers och andra vägfordon.</t>
    </r>
  </si>
  <si>
    <r>
      <rPr>
        <b/>
        <sz val="10"/>
        <rFont val="Arial"/>
        <family val="2"/>
      </rPr>
      <t>Rad 19–21, 25–26:</t>
    </r>
    <r>
      <rPr>
        <sz val="10"/>
        <rFont val="Arial"/>
        <family val="2"/>
      </rPr>
      <t xml:space="preserve"> Anger hur antalet fordon med drivande axlar som har utrymme för transport av gods eller passagerare är fördelade på drivmedelstyp och andelen med snabbtågskapacitet.
Med motorvagn avses ett fordon med drivande axlar som har utrymme för transport av gods eller passagerare och som kan framföras ensamt. En motorvagn kännetecknas av att den har en förarhytt i varje ände. Motorvagnar kan framföras kopplade till varandra. Exempel på motorvagn är fordon med littera Y1.
Med motorvagnssätt avses två eller fler permanent sammankopplade fordon med eller utan drivande axlar som har utrymme för transport av gods eller passagerare, varav minst ett fordon har dragande axlar och där de ingående fordonen inte kan framföras var för sig som en motorvagn. Ett motorvagnssätt kännetecknas av att endast ändfordonen har förarhytt. Vissa motorvagnssätt kan framföras kopplade till varandra. Exempel på motorvagnssätt är fordon med littera X2, X55, X14, Y2 och Y32. 
Med snabbtågskapacitet avses att motorvagnen eller motorvagnsättet kan framföras med en största tillåtna hastighet på minst 200 kilometer/timme. Motorvagnen eller motorvagnsättet redovisas oavsett om snabbtågskapaciteten utnyttjats eller inte under redovisat år. Exempel på motorvagnssätt med snabbtågskapacitet är fordon med littera X2, X3 och X55.
</t>
    </r>
  </si>
  <si>
    <r>
      <rPr>
        <b/>
        <sz val="10"/>
        <rFont val="Arial"/>
        <family val="2"/>
      </rPr>
      <t>Rad 1–2</t>
    </r>
    <r>
      <rPr>
        <sz val="10"/>
        <rFont val="Arial"/>
        <family val="2"/>
      </rPr>
      <t xml:space="preserve">: Anger längden i kilometer på de spår, inklusive sidobanor (ej privata), som trafikerats av persontrafik eller godstrafik eller bådadera. </t>
    </r>
  </si>
  <si>
    <t>I denna tabell redovisas längden i kilometer på banor, inklusive sidobanor (ej privata), som trafikerats av persontrafik eller godstrafik, eller bådadera, uppdelat efter län. Bandelar ingår om bandelen varit tillfälligt ur bruk på grund av banarbeten och dylikt. Bandelar som inte trafikerats exkluderas om trafiken lagts ned permanent. Så även vid omfattande nykonstruktions- och ombyggnadsarbeten (aktuella fall kommenteras i tabellerna).</t>
  </si>
  <si>
    <r>
      <rPr>
        <b/>
        <sz val="10"/>
        <rFont val="Arial"/>
        <family val="2"/>
      </rPr>
      <t>Kolumn 21:</t>
    </r>
    <r>
      <rPr>
        <sz val="10"/>
        <rFont val="Arial"/>
        <family val="2"/>
      </rPr>
      <t xml:space="preserve"> Anger det totala antalet sitt-, sov- och liggplatser i personvagnar, motorvagnar och motorvagnssätt exklusive platser i restaurangvagnar, caféavdelningar och specialvagnar. Sittplatser i konverteringsbara sov- och liggvagnar ingår inte i uppgiften.</t>
    </r>
  </si>
  <si>
    <t>Regional journeys</t>
  </si>
  <si>
    <t>Long distance journeys</t>
  </si>
  <si>
    <t>by the Swedish Energy Agency since 2016.</t>
  </si>
  <si>
    <t xml:space="preserve">the Oresund Bridge. </t>
  </si>
  <si>
    <t>Of which electrified</t>
  </si>
  <si>
    <r>
      <rPr>
        <b/>
        <sz val="10"/>
        <rFont val="Arial"/>
        <family val="2"/>
      </rPr>
      <t xml:space="preserve">Rad 1, 5 och 9: </t>
    </r>
    <r>
      <rPr>
        <sz val="10"/>
        <rFont val="Arial"/>
        <family val="2"/>
      </rPr>
      <t>Anger den totala godsmängden transporterad som vagnslastgods på järnväg och fördelningen mellan inrikes- och utrikestrafik. Med vagnslastgods avses sändningar med exklusiv tillgång till en hel vagn genom hela transporten, oavsett om hela vagnen utnyttjas eller inte. Vagnslastgods i systemtåg ingår.</t>
    </r>
  </si>
  <si>
    <t xml:space="preserve">år 2016 av Statens energimyndighet, www.energimyndigheten.se. </t>
  </si>
  <si>
    <r>
      <rPr>
        <b/>
        <sz val="10"/>
        <rFont val="Arial"/>
        <family val="2"/>
      </rPr>
      <t>Kolumn 22</t>
    </r>
    <r>
      <rPr>
        <sz val="10"/>
        <rFont val="Arial"/>
        <family val="2"/>
      </rPr>
      <t>: Anger det totala antalet godsvagnar. Definitioner i övrigt som i kolumn 20.</t>
    </r>
  </si>
  <si>
    <t xml:space="preserve">Transportfordon är fordon med utrymme för transport av gods eller passagerare oavsett om de har drivande axlar eller inte. Transportfordon delas in i fordon för godstransporter (godsvagnar) och fordon för persontransporter (personvagnar, motorvagnar och enheter i motorvagnssätt). Fordon med utrymme för transport av gods i passagerartåg räknas som fordon för persontransporter, se rad 39.  </t>
  </si>
  <si>
    <r>
      <rPr>
        <b/>
        <sz val="10"/>
        <rFont val="Arial"/>
        <family val="2"/>
      </rPr>
      <t>Kolumn 23</t>
    </r>
    <r>
      <rPr>
        <sz val="10"/>
        <rFont val="Arial"/>
        <family val="2"/>
      </rPr>
      <t>: Anger antalet vagnar i kolumn 22 som inte ägts av en tågoperatör, exklusive tjänstevagnar.</t>
    </r>
  </si>
  <si>
    <r>
      <rPr>
        <b/>
        <sz val="10"/>
        <rFont val="Arial"/>
        <family val="2"/>
      </rPr>
      <t>Kolumn 24</t>
    </r>
    <r>
      <rPr>
        <sz val="10"/>
        <rFont val="Arial"/>
        <family val="2"/>
      </rPr>
      <t>: Anger den totala lastkapaciteten (högsta lastvikt) i ton för samtliga godsvagnar i kolumn 22.</t>
    </r>
  </si>
  <si>
    <r>
      <rPr>
        <b/>
        <sz val="10"/>
        <rFont val="Arial"/>
        <family val="2"/>
      </rPr>
      <t>Kolumn 28</t>
    </r>
    <r>
      <rPr>
        <sz val="10"/>
        <rFont val="Arial"/>
        <family val="2"/>
      </rPr>
      <t>: Anger beläggningsgraden i procent av antalet tillgängliga sittplatser. Uppgiften är beräknad som personkilometer (kolumn 32) dividerad med platskilometer (kolumn 27).</t>
    </r>
  </si>
  <si>
    <r>
      <t xml:space="preserve">Rad 28: </t>
    </r>
    <r>
      <rPr>
        <sz val="10"/>
        <rFont val="Arial"/>
        <family val="2"/>
      </rPr>
      <t>Anger summan av investerings-, reinvesterings- och underhållskostnader, rad 25–27. Anges i svenska kronor och löpande priser.</t>
    </r>
  </si>
  <si>
    <r>
      <rPr>
        <b/>
        <sz val="10"/>
        <rFont val="Arial"/>
        <family val="2"/>
      </rPr>
      <t xml:space="preserve">Rad 1–3: </t>
    </r>
    <r>
      <rPr>
        <sz val="10"/>
        <rFont val="Arial"/>
        <family val="2"/>
      </rPr>
      <t>Anger totala antalet fordon med drivande axlar fördelat på användningsområde (person- eller godstrafik). I de fall fordon används i blandad tjänst (både för person- och godstrafik) räknas fordonet till det användningsområde där det har sin huvudsakliga tjänst. Rad 1 utgör summan av rad 8 och 30. Definitionen av respektive fordonstyp finns under de radnummer där de särredovisas.</t>
    </r>
  </si>
  <si>
    <r>
      <rPr>
        <b/>
        <sz val="10"/>
        <rFont val="Arial"/>
        <family val="2"/>
      </rPr>
      <t xml:space="preserve">Rad 4–18: </t>
    </r>
    <r>
      <rPr>
        <sz val="10"/>
        <rFont val="Arial"/>
        <family val="2"/>
      </rPr>
      <t>Anger antalet fordon med drivande axlar som inte har utrymme för transport av gods eller passagerare, totalt och fördelade efter drivmedelstyp och användningsområde (person- eller godstrafik). Som lok räknas fordon, med drivande axlar som inte har utrymme för transport av gods eller passagerare, som uteslutande används för att dra järnvägsvagnar och som har en dragkraft på 110 kW eller högre i dragkroken. Som lokomotor räknas fordon, med drivande axlar som inte har utrymme för transport av gods eller passagerare, som uteslutande används för att dra järnvägsvagnar och med dragkraft mindre än 110 kW. Rad 8 utgör summan av rad 13 och 18.</t>
    </r>
  </si>
  <si>
    <r>
      <rPr>
        <b/>
        <sz val="10"/>
        <rFont val="Arial"/>
        <family val="2"/>
      </rPr>
      <t xml:space="preserve">Rad 29: </t>
    </r>
    <r>
      <rPr>
        <sz val="10"/>
        <rFont val="Arial"/>
        <family val="2"/>
      </rPr>
      <t>Anger summan av motorvagnar och motorvagnssätt (rad 19, 21, 25 och 26).</t>
    </r>
  </si>
  <si>
    <r>
      <rPr>
        <b/>
        <sz val="10"/>
        <rFont val="Arial"/>
        <family val="2"/>
      </rPr>
      <t xml:space="preserve">Rad 10: </t>
    </r>
    <r>
      <rPr>
        <sz val="10"/>
        <rFont val="Arial"/>
        <family val="2"/>
      </rPr>
      <t>Anger hur mycket av rad 9 som transporterats i systemtåg. Med systemtåg avses tågtransporter där hela tågets transportkapacitet används av samma avsändare och tågets vagnar inte kopplas om mellan startpunkt och målpunkt.</t>
    </r>
  </si>
  <si>
    <r>
      <rPr>
        <b/>
        <sz val="10"/>
        <rFont val="Arial"/>
        <family val="2"/>
      </rPr>
      <t xml:space="preserve">Rad 13: </t>
    </r>
    <r>
      <rPr>
        <sz val="10"/>
        <rFont val="Arial"/>
        <family val="2"/>
      </rPr>
      <t>Anger hur mycket av rad 12 som transporterats i systemtåg. Med systemtåg avses tågtransporter där hela tågets transportkapacitet används av samma avsändare och tågets vagnar inte kopplas om mellan startpunkt och målpunkt.</t>
    </r>
  </si>
  <si>
    <r>
      <rPr>
        <b/>
        <sz val="10"/>
        <rFont val="Arial"/>
        <family val="2"/>
      </rPr>
      <t xml:space="preserve">Rad 16–30: </t>
    </r>
    <r>
      <rPr>
        <sz val="10"/>
        <rFont val="Arial"/>
        <family val="2"/>
      </rPr>
      <t>Anger transportarbete för kommersiell godstrafik i Sverige. Transportarbete av godstrafik redovisas som tonkilometer. Tonkilometer beräknas som godsmängden som lastats på en järnvägsvagn gånger den debiterade transportsträckan i kilometer. Tonkilometer på utländska sträckor ingår inte. I övrigt samma definitioner som i rad 1–15.</t>
    </r>
  </si>
  <si>
    <r>
      <rPr>
        <b/>
        <sz val="10"/>
        <rFont val="Arial"/>
        <family val="2"/>
      </rPr>
      <t>Rad 3–7:</t>
    </r>
    <r>
      <rPr>
        <sz val="10"/>
        <rFont val="Arial"/>
        <family val="2"/>
      </rPr>
      <t xml:space="preserve"> Anger längden i kilometer på de banor, inklusive sidobanor (ej privata), som trafikerats av persontrafik eller godstrafik eller bådadera. </t>
    </r>
  </si>
  <si>
    <r>
      <t>Rad 8–9:</t>
    </r>
    <r>
      <rPr>
        <sz val="10"/>
        <rFont val="Arial"/>
        <family val="2"/>
      </rPr>
      <t xml:space="preserve"> Anger längden i kilometer på de banor i rad 7 som enbart trafikerats med persontrafik eller godstrafik.</t>
    </r>
  </si>
  <si>
    <r>
      <t xml:space="preserve">Rad 17: </t>
    </r>
    <r>
      <rPr>
        <sz val="10"/>
        <rFont val="Arial"/>
        <family val="2"/>
      </rPr>
      <t xml:space="preserve">Anger längden i kilometer på de banor i rad 7 som är utrustade med det europeiska trafikstyrningssystemet för tåg (ERTMS). ERTMS är ett säkerhetssystem inom järnvägen som är under införande i Sverige och EU och som successivt ersätter äldre säkerhetssystem. </t>
    </r>
  </si>
  <si>
    <r>
      <rPr>
        <b/>
        <sz val="10"/>
        <rFont val="Arial"/>
        <family val="2"/>
      </rPr>
      <t xml:space="preserve">Rad 1: </t>
    </r>
    <r>
      <rPr>
        <sz val="10"/>
        <rFont val="Arial"/>
        <family val="2"/>
      </rPr>
      <t>Anger antalet tågkilometer av spårvagnståg i kommersiell trafik. En tågkilometer motsvarar ett tåg som framförs en kilometer. Totalt antal körda tågkilometer beräknas som summan av alla tågs körda sträckor i kilometer.</t>
    </r>
  </si>
  <si>
    <r>
      <rPr>
        <b/>
        <sz val="10"/>
        <rFont val="Arial"/>
        <family val="2"/>
      </rPr>
      <t>Rad 1–9:</t>
    </r>
    <r>
      <rPr>
        <sz val="10"/>
        <rFont val="Arial"/>
        <family val="2"/>
      </rPr>
      <t xml:space="preserve"> Anger antalet körda tågkilometer av tåg i kommersiell trafik, totalt och fördelat på typ av trafik och energislag. Tågkilometer på utländsk sträcka ingår inte. En tågkilometer motsvarar ett tåg som framförts en kilometer. Totalt antal körda tågkilometer beräknas som summan av alla tågs körda sträckor i kilometer.</t>
    </r>
  </si>
  <si>
    <r>
      <rPr>
        <b/>
        <sz val="10"/>
        <rFont val="Arial"/>
        <family val="2"/>
      </rPr>
      <t xml:space="preserve">Rad 1: </t>
    </r>
    <r>
      <rPr>
        <sz val="10"/>
        <rFont val="Arial"/>
        <family val="2"/>
      </rPr>
      <t>Anger antalet tågkilometer av tunnelbanetåg i kommersiell trafik. En tågkilometer motsvarar ett tåg som framförs en kilometer. Totalt antal körda tågkilometer beräknas som summan av alla tågs körda sträckor i kilometer.</t>
    </r>
  </si>
  <si>
    <r>
      <rPr>
        <b/>
        <sz val="10"/>
        <rFont val="Arial"/>
        <family val="2"/>
      </rPr>
      <t>Rad 1–3:</t>
    </r>
    <r>
      <rPr>
        <sz val="10"/>
        <rFont val="Arial"/>
        <family val="2"/>
      </rPr>
      <t xml:space="preserve"> Anger transporterad godsmängd i ton för kommersiella kombitransporter i Sverige, totalt och fördelat på typ av lastenhet.
                                                                                                                          </t>
    </r>
  </si>
  <si>
    <r>
      <t xml:space="preserve">Rad 5–7: </t>
    </r>
    <r>
      <rPr>
        <sz val="10"/>
        <rFont val="Arial"/>
        <family val="2"/>
      </rPr>
      <t>Anger transportarbete för kombigods på järnväg i Sverige, totalt och fördelat på typ av lastenhet. Transportarbetet beräknas som godsmängden gånger hela den transporterade sträckan i kilometer. Enheten för godstransportarbetet är tonkilometer, som motsvarar transport av ett ton i en kilometer. Tonkilometer på utländsk sträcka ingår inte.</t>
    </r>
  </si>
  <si>
    <t xml:space="preserve"> MTR Tunnelbanan AB</t>
  </si>
  <si>
    <t xml:space="preserve"> MTR Pendeltågen AB</t>
  </si>
  <si>
    <r>
      <rPr>
        <b/>
        <sz val="10"/>
        <rFont val="Arial"/>
        <family val="2"/>
      </rPr>
      <t>Kolumn 2–4</t>
    </r>
    <r>
      <rPr>
        <sz val="10"/>
        <rFont val="Arial"/>
        <family val="2"/>
      </rPr>
      <t>: Anger längden i kilometer på de statliga banor, inklusive sidobanor, som trafikerats av persontrafik eller godstrafik eller bådadera. En bana kan utgöras av ett eller flera spår. Till trafikerade banor räknas även banor som är tillfälligt ur bruk på grund av banarbeten och dylikt. Bandelar räknas inte som trafikerade om de varit permanent ur bruk och därför inte hållits i trafikerbart skick. Så även vid omfattande nykonstruktions- och ombyggnadsarbeten (aktuella fall kommenteras i tabellerna).
Med statliga menas att banorna har staten som huvudägare, undantag är om ägaren är ett bolag med staten som huvudägare.
Med normalspåriga menas att avståndet mellan rälerna på järnvägsspåren, spårvidden, är 1 435 millimeter. Med smalspåriga menas att spårvidden är mindre än 1 435 millimeter.
För definition av enskilda banor se kolumn 5–6.</t>
    </r>
  </si>
  <si>
    <r>
      <rPr>
        <b/>
        <sz val="10"/>
        <rFont val="Arial"/>
        <family val="2"/>
      </rPr>
      <t>Kolumn 5–6</t>
    </r>
    <r>
      <rPr>
        <sz val="10"/>
        <rFont val="Arial"/>
        <family val="2"/>
      </rPr>
      <t>: Anger längden i kilometer på de enskilda banor, inklusive sidobanor, som trafikerats av persontrafik eller godstrafik eller bådadera. Med enskilda menas att banorna har andra huvudägare än staten, även om ägaren är ett bolag med staten som huvudägare. Privata sidobanor ingår inte. I övrigt samma definitioner som i kolumn 2–3.
I början av perioden fanns många enskilda banor med privat ägande. Inget privat ägande av enskilda banor återstår, till följd av nedläggningar eller överföring av ägandet till staten, andra offentliga organ eller offentligt ägda organ.</t>
    </r>
  </si>
  <si>
    <r>
      <rPr>
        <b/>
        <sz val="10"/>
        <rFont val="Arial"/>
        <family val="2"/>
      </rPr>
      <t>Kolumn 11–13</t>
    </r>
    <r>
      <rPr>
        <sz val="10"/>
        <rFont val="Arial"/>
        <family val="2"/>
      </rPr>
      <t>: Anger antalet korsningar på trafikerade banor, även fördelat på planskilda korsningar och plankorsningar.
Med plankorsning menas korsning i plan mellan väg och järnväg, som är godkänd av infrastrukturförvaltaren och öppen för användare av allmänna eller privata vägar. Passager mellan plattformar inom stationer omfattas inte. Med planskild korsning menas korsningar mellan väg och järnväg som inte är i samma plan.</t>
    </r>
  </si>
  <si>
    <r>
      <rPr>
        <b/>
        <sz val="10"/>
        <rFont val="Arial"/>
        <family val="2"/>
      </rPr>
      <t>Kolumn 14–16</t>
    </r>
    <r>
      <rPr>
        <sz val="10"/>
        <rFont val="Arial"/>
        <family val="2"/>
      </rPr>
      <t>: Anger den tillgängliga personalstyrkan för banunderhåll och investeringsarbeten, även fördelat på kvinnor och män. Uppgiften omfattar ett medeltal av all personal som varit anställd och avlönats av banägarna. Medeltalen beräknas som antalet nedlagda timmar under året dividerat med årets normalarbetstid för berörd personal. Privata entreprenörer och konsulter ingår inte och från den 1 april 2010 inte heller Trafikverket, som inte kan uppge hur stor del av personalen som arbetar med järnvägar.
Med tillgänglig personalstyrka menas anställd personal minus personal med olika typer av ledighet, samt personal i annan verksamhet.
Med banunderhåll menas åtgärder för att hålla infrastrukturen i fungerande skick. 
Med investeringsarbeten menas exempelvis nykonstruktion av banor eller utbyggnad av befintliga bandelar. Även förnyelser eller större reparationer för att återställa anläggningen till det skick den hade när den var ny.</t>
    </r>
  </si>
  <si>
    <r>
      <rPr>
        <b/>
        <sz val="10"/>
        <rFont val="Arial"/>
        <family val="2"/>
      </rPr>
      <t>Kolumn 25</t>
    </r>
    <r>
      <rPr>
        <sz val="10"/>
        <rFont val="Arial"/>
        <family val="2"/>
      </rPr>
      <t>: Anger totala antalet körda tågkilometer av tåg i kommersiell person- och godstrafik. Tågkilometer på utländsk sträcka ingår inte. En tågkilometer motsvarar ett tåg som framförts en kilometer. Totalt antal körda tågkilometer beräknas som summan av alla tågs körda sträckor i kilometer.</t>
    </r>
  </si>
  <si>
    <r>
      <rPr>
        <b/>
        <sz val="10"/>
        <rFont val="Arial"/>
        <family val="2"/>
      </rPr>
      <t>Kolumn 30–32:</t>
    </r>
    <r>
      <rPr>
        <sz val="10"/>
        <rFont val="Arial"/>
        <family val="2"/>
      </rPr>
      <t xml:space="preserve"> Anger transportarbete av kommersiell persontrafik totalt samt fördelat på regionala och långväga resor. Transportarbete av persontrafik redovisas som personkilometer. Personkilometer beräknas som summan av alla resors längd i kilometer. Personkilometer på utländska sträckor ingår inte.
Med regionala resor avses i huvudsak resor med en reslängd på upp till och med 100 kilometer, härtill ingår även resor av samma karaktär, såsom arbetspendlingsresor, men med en något längre reslängd. Övriga resor räknas som långväga resor. I vissa fall kallas långväga resor för fjärrtrafik.
</t>
    </r>
  </si>
  <si>
    <r>
      <t xml:space="preserve">Rad 18–20: </t>
    </r>
    <r>
      <rPr>
        <sz val="10"/>
        <rFont val="Arial"/>
        <family val="2"/>
      </rPr>
      <t xml:space="preserve">Anger antalet planskilda korsningar och plankorsningar på banorna i rad 7.
Med plankorsning menas korsningar i plan mellan väg och järnväg, som är godkänd av infrastrukturförvaltaren och öppen för användare av allmänna eller privata vägar. Passager mellan plattformar inom stationer omfattas inte. 
Med planskild korsning menas korsningar mellan väg och järnväg som inte är i samma plan.
</t>
    </r>
  </si>
  <si>
    <r>
      <t xml:space="preserve">Rad 27: </t>
    </r>
    <r>
      <rPr>
        <sz val="10"/>
        <rFont val="Arial"/>
        <family val="2"/>
      </rPr>
      <t>Anger underhållskostnader för järnvägsinfrastrukturen. Avser åtgärder för att hålla infrastrukturen i fungerande skick. Underhåll är angivet i svenska kronor och löpande priser.</t>
    </r>
  </si>
  <si>
    <t xml:space="preserve">I denna tabell redovisas den personal som är verksam med banunderhåll och investeringsarbeten samt trafikledning. Privata entreprenörer och konsulter ingår inte och från den 1 april 2010 inte heller Trafikverket, som inte kan uppge hur stor del av personalen som arbetar med järnvägar. Med tillgänglig personal avses anställd personal minus personal med olika typer av ledighet samt personal i annan verksamhet. Alla uppgifter är medelvärden för aktuellt år, uttryckt i årsarbetskrafter. Medelvärdena beräknas som antalet nedlagda timmar under året dividerat med årets normalarbetstid för berörd personal.
Med banunderhåll menas åtgärder för att hålla infrastrukturen i fungerande skick. 
Med investeringsarbeten menas exempelvis nykonstruktion av banor eller utbyggnad av befintliga bandelar. Även förnyelser eller större reparationer för att återställa anläggningen till det skick den hade när den var ny.
</t>
  </si>
  <si>
    <r>
      <rPr>
        <b/>
        <sz val="10"/>
        <rFont val="Arial"/>
        <family val="2"/>
      </rPr>
      <t xml:space="preserve">Rad 9: </t>
    </r>
    <r>
      <rPr>
        <sz val="10"/>
        <rFont val="Arial"/>
        <family val="2"/>
      </rPr>
      <t>Anger underhållskostnader för spårvägsinfrastrukturen. Avser åtgärder för att hålla infrastrukturen i fungerande skick. Underhåll är angivet i svenska kronor och löpande priser.</t>
    </r>
  </si>
  <si>
    <t xml:space="preserve">I denna tabell redovisas den personal som är verksam med banunderhåll och investeringsarbeten samt trafikledning. Privata entreprenörer och konsulter ingår inte. Med tillgänglig personal avses anställd personal minus personal med olika typer av ledighet samt personal i annan verksamhet. Alla uppgifter är medelvärden för aktuellt år, uttryckt i årsarbetskrafter. Medelvärdena beräknas som antalet nedlagda timmar under året dividerat med årets normalarbetstid för berörd personal.
Med banunderhåll menas åtgärder för att hålla infrastrukturen i fungerande skick.
Med investeringsarbeten menas exempelvis nykonstruktion av banor eller utbyggnad av befintliga bandelar. Även förnyelser eller större reparationer för att återställa anläggningen till det skick den hade när den var ny.
</t>
  </si>
  <si>
    <r>
      <rPr>
        <b/>
        <sz val="10"/>
        <rFont val="Arial"/>
        <family val="2"/>
      </rPr>
      <t xml:space="preserve">Rad 9: </t>
    </r>
    <r>
      <rPr>
        <sz val="10"/>
        <rFont val="Arial"/>
        <family val="2"/>
      </rPr>
      <t>Anger underhållskostnader för tunnelbaneinfrastrukturen. Avser åtgärder för att hålla infrastrukturen i fungerande skick. Underhåll är angivet i svenska kronor och löpande priser.</t>
    </r>
  </si>
  <si>
    <t>I denna tabell redovisas den personal som är verksam med banunderhåll och investeringsarbeten samt trafikledning. Privata entreprenörer och konsulter ingår inte. Med tillgänglig personal menas anställd personal minus personal med olika typer av ledighet samt personal i annan verksamhet. Alla uppgifter är medelvärden för aktuellt år, uttryckt i årsarbetskrafter. Medelvärdena beräknas som antalet nedlagda timmar under året dividerat med årets normalarbetstid för berörd personal.
Med banunderhåll menas åtgärder för att hålla infrastrukturen i fungerande skick.
Med investeringsarbeten menas exempelvis nykonstruktion av banor eller utbyggnad av befintliga bandelar. Även förnyelser eller större reparationer för att återställa anläggningen till det skick den hade när den var ny.</t>
  </si>
  <si>
    <r>
      <rPr>
        <b/>
        <sz val="10"/>
        <rFont val="Arial"/>
        <family val="2"/>
      </rPr>
      <t xml:space="preserve">Rad 22–24, 27–28: </t>
    </r>
    <r>
      <rPr>
        <sz val="10"/>
        <rFont val="Arial"/>
        <family val="2"/>
      </rPr>
      <t xml:space="preserve">Anger hur antalet fordon med drivande axlar som har utrymme för transport av gods eller passagerare (motorvagnar och motorvagnssätt) på rad 30 är fördelade på drivmedelstyp och andelen med snabbtågskapacitet. 
I motorvagnssätt räknas varje ingående fordon, med minst en drivande axel, som ett dragfordon. Då två fordon har gemensam boggie typ Jacobsboggie med drivande axlar räknas en axel till varje fordon. För motorvagnar är alltid antalet fordon detsamma som antalet fordon med drivande axlar, vilket det inte behöver vara i motorvagnssätt där det exempelvis kan finnas två ändfordon med drivande axlar och ett fordon (mellanvagn) utan drivande axlar.
</t>
    </r>
  </si>
  <si>
    <r>
      <rPr>
        <b/>
        <sz val="10"/>
        <rFont val="Arial"/>
        <family val="2"/>
      </rPr>
      <t xml:space="preserve">Rad 1, 13 och 25: </t>
    </r>
    <r>
      <rPr>
        <sz val="10"/>
        <rFont val="Arial"/>
        <family val="2"/>
      </rPr>
      <t xml:space="preserve">Slutna vagnar kännetecknas av sin slutna konstruktion med ett tak och helt slutna sidor, och som kan låsas och/eller plomberas.
Vagnar med littera G (slutna vagnar – med en dörröppning), H (slutna vagnar – med öppningsbar vagnsida), I (kylvagnar) och T (vagnar med öppningsbart tak) ingår.
</t>
    </r>
  </si>
  <si>
    <r>
      <rPr>
        <b/>
        <sz val="10"/>
        <rFont val="Arial"/>
        <family val="2"/>
      </rPr>
      <t xml:space="preserve">Rad 2, 14 och 26: </t>
    </r>
    <r>
      <rPr>
        <sz val="10"/>
        <rFont val="Arial"/>
        <family val="2"/>
      </rPr>
      <t xml:space="preserve">Lådvagn är en godsvagn utan tak och med fasta sidor som är högre än 60 cm. 
Vagnar med littera E (lådvagnar – normal typ) och F (lådvagnar – specialtyp) ingår.
</t>
    </r>
  </si>
  <si>
    <r>
      <rPr>
        <b/>
        <sz val="10"/>
        <rFont val="Arial"/>
        <family val="2"/>
      </rPr>
      <t xml:space="preserve">Rad 3, 15 och 27: </t>
    </r>
    <r>
      <rPr>
        <sz val="10"/>
        <rFont val="Arial"/>
        <family val="2"/>
      </rPr>
      <t xml:space="preserve">Flakvagn är en godsvagn utan tak och sidor, eller vagn utan tak men med sidor som inte är högre än 60 cm, eller vagn med swing motion-boggi av normal eller särskild typ.
Vagnar med littera K (flakvagnar med separata hjulaxlar – normal typ), L (flakvagnar med separata hjulaxlar – specialtyp), O (kombinerade flat- och lådvagnar), R och S (båda flatvagnar med boggier) ingår.
</t>
    </r>
  </si>
  <si>
    <r>
      <rPr>
        <b/>
        <sz val="10"/>
        <rFont val="Arial"/>
        <family val="2"/>
      </rPr>
      <t xml:space="preserve">Rad 2: </t>
    </r>
    <r>
      <rPr>
        <sz val="10"/>
        <rFont val="Arial"/>
        <family val="2"/>
      </rPr>
      <t>Anger bruttotonkilometer av vagnar i kommersiell spårvägstrafik. Bruttotonkilometer av en vagn beräknas som bruttovikt av en vagn gånger sträckan vagnen dragits i kilometer.
För persontåg beräknas bruttovikten av en vagn som vikten av fordon upplåtna för resande exklusive vikten av passagerare och deras bagage. Inom spårvägar har alla fordon med drivande axlar (dragfordon) även utrymme för transport av gods eller passagerare och ingår således i statistiken över bruttotonkilometer av vagnar.</t>
    </r>
  </si>
  <si>
    <r>
      <rPr>
        <b/>
        <sz val="10"/>
        <rFont val="Arial"/>
        <family val="2"/>
      </rPr>
      <t>Rad 2:</t>
    </r>
    <r>
      <rPr>
        <sz val="10"/>
        <rFont val="Arial"/>
        <family val="2"/>
      </rPr>
      <t xml:space="preserve"> Anger bruttotonkilometer av vagnar i kommersiell tunnelbanetrafik. Bruttotonkilometer av en vagn beräknas som bruttovikt av en vagn gånger sträckan vagnen dragits i kilometer.
För persontåg beräknas bruttovikten av en vagn som vikten av fordon upplåtna för resande exklusive vikten av passagerare och deras bagage. Inom tunnelbana har alla fordon med drivande axlar (dragfordon) även utrymme för transport av gods eller passagerare och ingår således i statistiken över bruttotonkilometer av vagnar. </t>
    </r>
  </si>
  <si>
    <r>
      <rPr>
        <b/>
        <sz val="10"/>
        <rFont val="Arial"/>
        <family val="2"/>
      </rPr>
      <t xml:space="preserve">Rad 15: </t>
    </r>
    <r>
      <rPr>
        <sz val="10"/>
        <rFont val="Arial"/>
        <family val="2"/>
      </rPr>
      <t>Anger hur mycket av summan av rad 9 och rad 12 som transporterats i systemtåg. Med systemtåg avses tågtransporter där hela tågets transportkapacitet används av samma avsändare och tågets vagnar inte kopplas om mellan startpunkt och målpunkt.</t>
    </r>
  </si>
  <si>
    <r>
      <t xml:space="preserve">Rad 5–7: </t>
    </r>
    <r>
      <rPr>
        <sz val="10"/>
        <rFont val="Arial"/>
        <family val="2"/>
      </rPr>
      <t xml:space="preserve">Anger hur resorna på rad 4 fördelas på resor som har genomförts:
• utan stöd till trafiken från regionala kollektivtrafikmyndigheter eller Trafikverket, i tågoperatörernas trafik på kommersiella grunder
• med statligt stöd från Trafikverket (eller med stöd från både Trafikverket och regionala kollektivtrafikmyndigheter)
• med stöd enbart från regionala kollektivtrafikmyndigheter
Med stöd avses ekonomiskt stöd till olönsam trafik. Hänsyn tas inte till eventuellt fordonsstöd.
</t>
    </r>
  </si>
  <si>
    <t>k</t>
  </si>
  <si>
    <r>
      <t xml:space="preserve">1 </t>
    </r>
    <r>
      <rPr>
        <sz val="8"/>
        <rFont val="Arial"/>
        <family val="2"/>
      </rPr>
      <t xml:space="preserve">Från och med 2016 ingår Öresundsbroförbindelsen i statistiken. </t>
    </r>
    <r>
      <rPr>
        <i/>
        <sz val="8"/>
        <rFont val="Arial"/>
        <family val="2"/>
      </rPr>
      <t xml:space="preserve">As from 2016, the statistics on rail infrastructure includes the Oresund Bridge. </t>
    </r>
  </si>
  <si>
    <r>
      <t>Öresundsbroförbindelsen</t>
    </r>
    <r>
      <rPr>
        <vertAlign val="superscript"/>
        <sz val="10"/>
        <rFont val="Arial"/>
        <family val="2"/>
      </rPr>
      <t>1</t>
    </r>
  </si>
  <si>
    <r>
      <t>Oresund Bridge</t>
    </r>
    <r>
      <rPr>
        <i/>
        <vertAlign val="superscript"/>
        <sz val="10"/>
        <rFont val="Arial"/>
        <family val="2"/>
      </rPr>
      <t>1</t>
    </r>
  </si>
  <si>
    <t xml:space="preserve">På grund av myndighetsbeslut har plattformsanläggningar, </t>
  </si>
  <si>
    <t xml:space="preserve">servicevägar etc. omklassificerats till plankorsningar. </t>
  </si>
  <si>
    <t>crossings in service roads etc. has been reclassified to</t>
  </si>
  <si>
    <t>therefore not completely comparable with previous years.</t>
  </si>
  <si>
    <t xml:space="preserve"> Blekingetrafiken</t>
  </si>
  <si>
    <t xml:space="preserve"> Region Gävleborg</t>
  </si>
  <si>
    <t xml:space="preserve"> Region Jönköpings län</t>
  </si>
  <si>
    <t xml:space="preserve"> Region Uppsala</t>
  </si>
  <si>
    <t xml:space="preserve"> Region Östergötland</t>
  </si>
  <si>
    <t xml:space="preserve"> Region Västmanland</t>
  </si>
  <si>
    <t xml:space="preserve"> Region Jämtland Härjedalen</t>
  </si>
  <si>
    <t xml:space="preserve"> Region Kronoberg</t>
  </si>
  <si>
    <t xml:space="preserve"> Region Örebro län</t>
  </si>
  <si>
    <t xml:space="preserve"> TX Logistik AB</t>
  </si>
  <si>
    <t xml:space="preserve">level crossings. Reclassification has been done for </t>
  </si>
  <si>
    <t xml:space="preserve"> Baneservice Scandinavia AB</t>
  </si>
  <si>
    <t xml:space="preserve"> Nordiska tåg AB</t>
  </si>
  <si>
    <t xml:space="preserve">..   </t>
  </si>
  <si>
    <t xml:space="preserve">.    </t>
  </si>
  <si>
    <t>0</t>
  </si>
  <si>
    <t xml:space="preserve">k   </t>
  </si>
  <si>
    <t xml:space="preserve">r    </t>
  </si>
  <si>
    <t>xxx</t>
  </si>
  <si>
    <r>
      <t xml:space="preserve">2018 </t>
    </r>
    <r>
      <rPr>
        <b/>
        <vertAlign val="superscript"/>
        <sz val="8"/>
        <rFont val="Arial"/>
        <family val="2"/>
      </rPr>
      <t>1</t>
    </r>
  </si>
  <si>
    <r>
      <t>2018</t>
    </r>
    <r>
      <rPr>
        <b/>
        <vertAlign val="superscript"/>
        <sz val="8"/>
        <rFont val="Arial"/>
        <family val="2"/>
      </rPr>
      <t xml:space="preserve"> 1</t>
    </r>
  </si>
  <si>
    <r>
      <t xml:space="preserve">12. Transportutrustning / </t>
    </r>
    <r>
      <rPr>
        <i/>
        <sz val="8"/>
        <rFont val="Arial"/>
        <family val="2"/>
      </rPr>
      <t>Transport equipment</t>
    </r>
  </si>
  <si>
    <r>
      <t xml:space="preserve">13. Möbler och andra tillverkade varor / </t>
    </r>
    <r>
      <rPr>
        <i/>
        <sz val="8"/>
        <rFont val="Arial"/>
        <family val="2"/>
      </rPr>
      <t>Furniture and other manufactured goods</t>
    </r>
  </si>
  <si>
    <r>
      <t xml:space="preserve">15. Post och paket / </t>
    </r>
    <r>
      <rPr>
        <i/>
        <sz val="8"/>
        <rFont val="Arial"/>
        <family val="2"/>
      </rPr>
      <t>Mail, parcels</t>
    </r>
  </si>
  <si>
    <r>
      <t xml:space="preserve">17. Flyttgods, fordon för reparation / </t>
    </r>
    <r>
      <rPr>
        <i/>
        <sz val="8"/>
        <rFont val="Arial"/>
        <family val="2"/>
      </rPr>
      <t>Goods moved in the course of office or</t>
    </r>
  </si>
  <si>
    <r>
      <t xml:space="preserve">18. Styckegods och samlastat gods / </t>
    </r>
    <r>
      <rPr>
        <i/>
        <sz val="8"/>
        <rFont val="Arial"/>
        <family val="2"/>
      </rPr>
      <t>Grouped goods</t>
    </r>
  </si>
  <si>
    <r>
      <t xml:space="preserve">19. Oidentifierbart gods / </t>
    </r>
    <r>
      <rPr>
        <i/>
        <sz val="8"/>
        <rFont val="Arial"/>
        <family val="2"/>
      </rPr>
      <t>Unidentifiable goods</t>
    </r>
  </si>
  <si>
    <r>
      <rPr>
        <vertAlign val="superscript"/>
        <sz val="8"/>
        <rFont val="Arial"/>
        <family val="2"/>
      </rPr>
      <t>1</t>
    </r>
    <r>
      <rPr>
        <sz val="8"/>
        <rFont val="Arial"/>
        <family val="2"/>
      </rPr>
      <t xml:space="preserve"> På grund av återbetalning av tidigare genomförda investeringar är investeringskostnaden för 2017 negativ.</t>
    </r>
    <r>
      <rPr>
        <i/>
        <sz val="8"/>
        <rFont val="Arial"/>
        <family val="2"/>
      </rPr>
      <t xml:space="preserve"> Due to the repayment of completed investments, the investment cost for 2017 is negative.</t>
    </r>
  </si>
  <si>
    <r>
      <rPr>
        <sz val="8"/>
        <rFont val="Arial"/>
        <family val="2"/>
      </rPr>
      <t>tidigare år.</t>
    </r>
    <r>
      <rPr>
        <i/>
        <sz val="8"/>
        <rFont val="Arial"/>
        <family val="2"/>
      </rPr>
      <t xml:space="preserve"> Due to authority decisions, platform installations, </t>
    </r>
  </si>
  <si>
    <t xml:space="preserve">Fram till och med 2001 inkluderar uppgifterna tonkilometer av tomma </t>
  </si>
  <si>
    <t>privatvagnar. Med ”tonkilometer av tomma privatvagnar” avses den nettolast</t>
  </si>
  <si>
    <t>på sex ton som debiterades då en tom privatvagn drogs av en tågoperatör.</t>
  </si>
  <si>
    <t xml:space="preserve">Up to 2001, figures include tonne-kilometres by empty privately owned </t>
  </si>
  <si>
    <t xml:space="preserve">wagons. "Tonne-kilometres by empty privately owned wagons" refer to </t>
  </si>
  <si>
    <t>by a railway undertaking.</t>
  </si>
  <si>
    <t xml:space="preserve">the six tonnes charged when an empty privately owned wagon was  hauled </t>
  </si>
  <si>
    <t xml:space="preserve">Före 2009 omfattar inte statistiken norska transittransporter från Norge till </t>
  </si>
  <si>
    <r>
      <t xml:space="preserve">Norge genom Sverige. </t>
    </r>
    <r>
      <rPr>
        <i/>
        <sz val="8"/>
        <color indexed="8"/>
        <rFont val="Arial"/>
        <family val="2"/>
      </rPr>
      <t>Before 2009, the statistics do not include Norwegian</t>
    </r>
  </si>
  <si>
    <t>transit from Norway to Norway through Sweden.</t>
  </si>
  <si>
    <r>
      <rPr>
        <b/>
        <sz val="10"/>
        <rFont val="Arial"/>
        <family val="2"/>
      </rPr>
      <t xml:space="preserve">Rad 4–6: </t>
    </r>
    <r>
      <rPr>
        <sz val="10"/>
        <rFont val="Arial"/>
        <family val="2"/>
      </rPr>
      <t>Anger den tillgängliga personalstyrkan som arbetar med trafikledning och som är anställd av infrastrukturförvaltare eller tunnelbaneoperatörer.</t>
    </r>
  </si>
  <si>
    <r>
      <rPr>
        <b/>
        <sz val="10"/>
        <rFont val="Arial"/>
        <family val="2"/>
      </rPr>
      <t>Rad 7–9:</t>
    </r>
    <r>
      <rPr>
        <sz val="10"/>
        <rFont val="Arial"/>
        <family val="2"/>
      </rPr>
      <t xml:space="preserve"> Anger den totala anställda personalstyrkan för infrastrukturarbeten och trafikledning som är anställd av infrastrukturförvaltare eller tunnelbaneoperatörer.</t>
    </r>
  </si>
  <si>
    <t xml:space="preserve"> ABB Power Transformers</t>
  </si>
  <si>
    <t xml:space="preserve"> DB Cargo Scandinavia A/S</t>
  </si>
  <si>
    <t>– härav långväga resor</t>
  </si>
  <si>
    <t>– of which long distance journeys</t>
  </si>
  <si>
    <r>
      <t xml:space="preserve">Rad 8–11: </t>
    </r>
    <r>
      <rPr>
        <sz val="10"/>
        <rFont val="Arial"/>
        <family val="2"/>
      </rPr>
      <t xml:space="preserve">Anger hur många av resorna på rad 4 som gjorts med snabbtåg i fjärrtrafik och hur många internationella respektive regionala resor som genomförts.
Med snabbtåg avses att fordonen kan framföras med en största tillåtna hastighet på minst 200 kilometer/timme, oavsett om snabbtågskapaciteten utnyttjats eller inte.
Med regionala resor avses i huvudsak resor med en reslängd på upp till och med 100 kilometer. Härtill ingår även resor av samma karaktär, såsom arbetspendlingsresor, men med en något längre reslängd. Resor som inte är regionala räknas som långväga resor (fjärrtrafik).
Om start- eller målpunkt för resan ligger utanför Sverige, räknas resan som internationell.
</t>
    </r>
  </si>
  <si>
    <r>
      <rPr>
        <b/>
        <sz val="10"/>
        <rFont val="Arial"/>
        <family val="2"/>
      </rPr>
      <t xml:space="preserve">Rad 11–21: </t>
    </r>
    <r>
      <rPr>
        <sz val="10"/>
        <rFont val="Arial"/>
        <family val="2"/>
      </rPr>
      <t>Anger transportarbete för resor redovisade på rad 1–10. Transportarbete av persontrafik redovisas som personkilometer. Personkilometer beräknas som summan av alla resors längd i kilometer. Personkilometer på utländska sträckor ingår inte i statistiken.</t>
    </r>
  </si>
  <si>
    <t xml:space="preserve"> Nordic train AB</t>
  </si>
  <si>
    <t xml:space="preserve">Omklassificering har gjorts för åren 2015, samt 2017-2019 och </t>
  </si>
  <si>
    <t>medför att statistiken för 2015-2019 inte är helt jämförbar med</t>
  </si>
  <si>
    <t xml:space="preserve">2015 and 2017-2019, and the statistics for 2015-2019 are </t>
  </si>
  <si>
    <t>Fredrik Söderbaum</t>
  </si>
  <si>
    <t>tel: 010-414 42 23, e-post: fredrik.soderbaum@trafa.se</t>
  </si>
  <si>
    <t xml:space="preserve"> Vy Tåg AB</t>
  </si>
  <si>
    <r>
      <rPr>
        <b/>
        <sz val="10"/>
        <rFont val="Arial"/>
        <family val="2"/>
      </rPr>
      <t xml:space="preserve">Rad 2, 6 och 11: </t>
    </r>
    <r>
      <rPr>
        <sz val="10"/>
        <rFont val="Arial"/>
        <family val="2"/>
      </rPr>
      <t>Anger den totala godsmängden malm transporterad på malmbanan och fördelat på inrikes- och utrikestrafik. I malm på malmbanan redovisas samtliga godstransporter på malmbanan som utförs av LKAB Malmtrafik AB och Kaunis Iron AB. Andra malmtransporter redovisas på andra rader i tabellen.</t>
    </r>
  </si>
  <si>
    <t>EUROSTAT_CODE</t>
  </si>
  <si>
    <t>PATH</t>
  </si>
  <si>
    <t>FLAG</t>
  </si>
  <si>
    <t>FOOTNOTE</t>
  </si>
  <si>
    <t>(Internt Trafikverket)</t>
  </si>
  <si>
    <t>PATH,EUROSTAT_CODE,VALUE,FLAG,FOOTNOTE</t>
  </si>
  <si>
    <t>Railway Transport/Infrastructure/Tracks/Length operated at 31.12 (km)/Total</t>
  </si>
  <si>
    <t>Railway Transport/Infrastructure/Tracks/Length operated at 31.12 (km)/By type of traction/Non electrified</t>
  </si>
  <si>
    <t>Railway Transport/Infrastructure/Tracks/Length operated at 31.12 (km)/By type of traction/Electrified</t>
  </si>
  <si>
    <t>Railway Transport/Infrastructure/Lines - Length operated/Length operated at 31.12 (km)/Total</t>
  </si>
  <si>
    <t>Railway Transport/Infrastructure/Lines - Length operated/Length operated at 31.12 (km)/By nature of traffic/Passenger only</t>
  </si>
  <si>
    <t>:</t>
  </si>
  <si>
    <t>Railway Transport/Infrastructure/Lines - Length operated/Length operated at 31.12 (km)/By nature of traffic/Freight only</t>
  </si>
  <si>
    <t>Railway Transport/Infrastructure/Lines - Length operated/Length operated at 31.12 (km)/By nature of traffic/Passenger and freight</t>
  </si>
  <si>
    <t>Railway Transport/Infrastructure/Lines - Length operated/Length operated at 31.12 (km)/By number of tracks/Single track</t>
  </si>
  <si>
    <t>Railway Transport/Infrastructure/Lines - Length operated/Length operated at 31.12 (km)/By number of tracks/Double track or more</t>
  </si>
  <si>
    <t>Railway Transport/Infrastructure/Lines - Length operated/Length operated at 31.12 (km)/By track gauge/Standard gauge</t>
  </si>
  <si>
    <t>Railway Transport/Infrastructure/Lines - Length operated/Length operated at 31.12 (km)/By track gauge/Large gauge</t>
  </si>
  <si>
    <t>Railway Transport/Infrastructure/Lines - Length operated/Length operated at 31.12 (km)/By track gauge/Narrow gauge</t>
  </si>
  <si>
    <t>Railway Transport/Infrastructure/Lines - Length operated/Length operated at 31.12 (km)/By type of line/Dedicated high speed lines</t>
  </si>
  <si>
    <t>Railway Transport/Infrastructure/Lines - Length operated/Length operated at 31.12 (km)/By type of line/Upgraded high speed lines</t>
  </si>
  <si>
    <t>Railway Transport/Infrastructure/Lines - Length operated/Length operated at 31.12 (km)/By type of line/Conventional lines</t>
  </si>
  <si>
    <t>Railway Transport/Infrastructure/Lines ? Non electrified/Length operated at 31.12 (km)/Total</t>
  </si>
  <si>
    <t>Railway Transport/Infrastructure/Lines ? Non electrified/Length operated at 31.12 (km)/Total/By nature of traffic/Passenger only</t>
  </si>
  <si>
    <t>Railway Transport/Infrastructure/Lines ? Non electrified/Length operated at 31.12 (km)/Total/By nature of traffic/Freight only</t>
  </si>
  <si>
    <t>Railway Transport/Infrastructure/Lines ? Non electrified/Length operated at 31.12 (km)/Total/By nature of traffic/Passenger and freight</t>
  </si>
  <si>
    <t>Railway Transport/Infrastructure/Lines ? Non electrified/Length operated at 31.12 (km)/Total/By number of tracks/Single track</t>
  </si>
  <si>
    <t>Railway Transport/Infrastructure/Lines ? Non electrified/Length operated at 31.12 (km)/Total/By number of tracks/Double track or more</t>
  </si>
  <si>
    <t>Railway Transport/Infrastructure/Lines ? Non electrified/Length operated at 31.12 (km)/Total/By track gauge/Standard gauge</t>
  </si>
  <si>
    <t>Railway Transport/Infrastructure/Lines ? Non electrified/Length operated at 31.12 (km)/Total/By track gauge/Large gauge</t>
  </si>
  <si>
    <t>Railway Transport/Infrastructure/Lines ? Non electrified/Length operated at 31.12 (km)/Total/By track gauge/Narrow gauge</t>
  </si>
  <si>
    <t>Railway Transport/Infrastructure/Lines ? Electrified/Length operated at 31.12 (km)/Total</t>
  </si>
  <si>
    <t>Railway Transport/Infrastructure/Lines ? Electrified/Length operated at 31.12 (km)/Total/By nature of traffic/Passenger only</t>
  </si>
  <si>
    <t>Railway Transport/Infrastructure/Lines ? Electrified/Length operated at 31.12 (km)/Total/By nature of traffic/Freight only</t>
  </si>
  <si>
    <t>Railway Transport/Infrastructure/Lines ? Electrified/Length operated at 31.12 (km)/Total/By nature of traffic/Passenger and freight</t>
  </si>
  <si>
    <t>Railway Transport/Infrastructure/Lines ? Electrified/Length operated at 31.12 (km)/Total/By number of tracks/Single track</t>
  </si>
  <si>
    <t>Railway Transport/Infrastructure/Lines ? Electrified/Length operated at 31.12 (km)/Total/By number of tracks/Double track or more</t>
  </si>
  <si>
    <t>Railway Transport/Infrastructure/Lines ? Electrified/Length operated at 31.12 (km)/Total/By track gauge/Standard gauge</t>
  </si>
  <si>
    <t>Railway Transport/Infrastructure/Lines ? Electrified/Length operated at 31.12 (km)/Total/By track gauge/Large gauge</t>
  </si>
  <si>
    <t>Railway Transport/Infrastructure/Lines ? Electrified/Length operated at 31.12 (km)/Total/By track gauge/Narrow gauge</t>
  </si>
  <si>
    <t>Railway Transport/Infrastructure/Lines ? Electrified/Length operated at 31.12 (km)/Total/By type of current/50 Hz/25000 V</t>
  </si>
  <si>
    <t>Railway Transport/Infrastructure/Lines ? Electrified/Length operated at 31.12 (km)/Total/By type of current/16 2/3 Hz/15000 V</t>
  </si>
  <si>
    <t>Railway Transport/Infrastructure/Lines ? Electrified/Length operated at 31.12 (km)/Total/By type of current/Other alternative current- please specify</t>
  </si>
  <si>
    <t>Railway Transport/Infrastructure/Lines ? Electrified/Length operated at 31.12 (km)/Total/By type of current/DC 3000 V</t>
  </si>
  <si>
    <t>Railway Transport/Infrastructure/Lines ? Electrified/Length operated at 31.12 (km)/Total/By type of current/DC 1500 V</t>
  </si>
  <si>
    <t>Railway Transport/Infrastructure/Lines ? Electrified/Length operated at 31.12 (km)/Total/By type of current/Other direct current (DC)- please specify</t>
  </si>
  <si>
    <t>Railway Transport/Transport Equipment/Locomotives/Number at 31.12/Total</t>
  </si>
  <si>
    <t>Railway Transport/Transport Equipment/Locomotives/Number at 31.12/By source of power/Electric</t>
  </si>
  <si>
    <t>Railway Transport/Transport Equipment/Locomotives/Number at 31.12/By source of power/Diesel</t>
  </si>
  <si>
    <t>Railway Transport/Transport Equipment/Locomotives/Tractive power at 31.12 (1000 kW)/Total</t>
  </si>
  <si>
    <t>Railway Transport/Transport Equipment/Locomotives/Tractive power at 31.12 (1000 kW)/By source of power/Electric</t>
  </si>
  <si>
    <t>Railway Transport/Transport Equipment/Locomotives/Tractive power at 31.12 (1000 kW)/By source of power/Diesel</t>
  </si>
  <si>
    <t>Railway Transport/Transport Equipment/Railcars/Number at 31.12/Total</t>
  </si>
  <si>
    <t>Railway Transport/Transport Equipment/Railcars/Number at 31.12/By source of power/Electric</t>
  </si>
  <si>
    <t>Railway Transport/Transport Equipment/Railcars/Number at 31.12/By source of power/Diesel</t>
  </si>
  <si>
    <t>Railway Transport/Transport Equipment/Railcars/Tractive power at 31.12 (1000 kW)/Total</t>
  </si>
  <si>
    <t>Railway Transport/Transport Equipment/Railcars/Tractive power at 31.12 (1000 kW)/By source of power/Electric</t>
  </si>
  <si>
    <t>Railway Transport/Transport Equipment/Railcars/Tractive power at 31.12 (1000 kW)/By source of power/Diesel</t>
  </si>
  <si>
    <t>Railway Transport/Transport Equipment/Passenger railway vehicles/Number at 31.12/Total</t>
  </si>
  <si>
    <t>Railway Transport/Transport Equipment/Passenger railway vehicles/Number at 31.12/By type of vehicle/Couchette coaches- sleeping cars</t>
  </si>
  <si>
    <t>Railway Transport/Transport Equipment/Passenger railway vehicles/Number at 31.12/By type of vehicle/Dining cars</t>
  </si>
  <si>
    <t>Railway Transport/Transport Equipment/Passenger railway vehicles/Number at 31.12/By type of vehicle/Coaches</t>
  </si>
  <si>
    <t>Railway Transport/Transport Equipment/Passenger railway vehicles/Number at 31.12/By type of vehicle/Passenger railcars and railcar trailers</t>
  </si>
  <si>
    <t>Railway Transport/Transport Equipment/Passenger railway vehicles/Number of seats and berths [II-11] at 31.12 (1000)/Total</t>
  </si>
  <si>
    <t>Railway Transport/Transport Equipment/Passenger railway vehicles/Number of seats and berths [II-11] at 31.12 (1000)/By type of vehicle/Coaches</t>
  </si>
  <si>
    <t>Railway Transport/Transport Equipment/Passenger railway vehicles/Number of seats and berths [II-11] at 31.12 (1000)/By type of vehicle/Passenger railcars and railcar trailers</t>
  </si>
  <si>
    <t>Railway Transport/Transport Equipment/Passenger railway vehicles/Number at 31.12 (1000)/By category of seats or berths/Seats</t>
  </si>
  <si>
    <t>Railway Transport/Transport Equipment/Passenger railway vehicles/Number at 31.12 (1000)/By category of seats or berths/Berths (couchettes and sleeping cars)</t>
  </si>
  <si>
    <t>Railway Transport/Transport Equipment/Vans/Number at 31.12/Total</t>
  </si>
  <si>
    <t>Railway Transport/Transport Equipment/Wagons/Number at 31.12/Total</t>
  </si>
  <si>
    <t>Railway Transport/Transport Equipment/Wagons/Number at 31.12/By type of wagon/Covered wagons</t>
  </si>
  <si>
    <t>Railway Transport/Transport Equipment/Wagons/Number at 31.12/By type of wagon/High sided wagons</t>
  </si>
  <si>
    <t>Railway Transport/Transport Equipment/Wagons/Number at 31.12/By type of wagon/Flat wagons</t>
  </si>
  <si>
    <t>Railway Transport/Transport Equipment/Wagons/Number at 31.12/By type of wagon/Wagons for intermodal transport</t>
  </si>
  <si>
    <t>Railway Transport/Transport Equipment/Wagons/Number at 31.12/By type of wagon/Other wagons</t>
  </si>
  <si>
    <t>Railway Transport/Transport Equipment/Wagons/Capacity [II-25] at 31.12 (1000 tonnes)/Total</t>
  </si>
  <si>
    <t>Railway Transport/Transport Equipment/Wagons/Capacity [II-25] at 31.12 (1000 tonnes)/By type of wagon/Covered wagons</t>
  </si>
  <si>
    <t>Railway Transport/Transport Equipment/Wagons/Capacity [II-25] at 31.12 (1000 tonnes)/By type of wagon/High sided wagons</t>
  </si>
  <si>
    <t>Railway Transport/Transport Equipment/Wagons/Capacity [II-25] at 31.12 (1000 tonnes)/By type of wagon/Flat wagons</t>
  </si>
  <si>
    <t>Railway Transport/Transport Equipment/Wagons/Capacity [II-25] at 31.12 (1000 tonnes)/By type of wagon/Other wagons</t>
  </si>
  <si>
    <t>Railway Transport/Transport Equipment/Wagons/Capacity [II-25] at 31.12 (1000 tonnes)/By type of wagon/Wagons for intermodal transport</t>
  </si>
  <si>
    <t>Railway Transport/Transport Equipment/Trainsets/Number at 31.12/Total</t>
  </si>
  <si>
    <t>Railway Transport/Transport Equipment/Trainsets/Number at 31.12/Total/By type of trainset/High speed trainset</t>
  </si>
  <si>
    <t>Railway Transport/Transport Equipment/Trainsets/Number at 31.12/Total/By type of trainset/High speed tilting trainset</t>
  </si>
  <si>
    <t>Railway Transport/Transport Equipment/Trainsets/Number at 31.12/Total/By type of trainset/Conventional trainset</t>
  </si>
  <si>
    <t>Railway Transport/Transport Equipment/Trainsets/Number of seats and berths [II-11] at 31.12 (1000)/Total</t>
  </si>
  <si>
    <t>Railway Transport/Transport Equipment/Trainsets/Number of seats and berths [II-11] at 31.12 (1000)/Total/By type of trainset/High speed trainset</t>
  </si>
  <si>
    <t>Railway Transport/Transport Equipment/Trainsets/Number of seats and berths [II-11] at 31.12 (1000)/Total/By type of trainset/High speed tilting trainset</t>
  </si>
  <si>
    <t>Railway Transport/Transport Equipment/Trainsets/Number of seats and berths [II-11] at 31.12 (1000)/Total/By type of trainset/Conventional trainset</t>
  </si>
  <si>
    <t>Railway Transport/Enterprise Economic Performance And Employment/Railway enterprises/Number of enterprises at 31.12/Total</t>
  </si>
  <si>
    <t xml:space="preserve">Data hämtas från tabell Tågoperatörer </t>
  </si>
  <si>
    <t>Railway Transport/Enterprise Economic Performance And Employment/Railway enterprises/Number of enterprises at 31.12/Total/By type of enterprise/Railway undertaking</t>
  </si>
  <si>
    <t>Railway Transport/Enterprise Economic Performance And Employment/Railway enterprises/Number of enterprises at 31.12/Total/By type of enterprise/Infrastructure manager</t>
  </si>
  <si>
    <t>Railway Transport/Enterprise Economic Performance And Employment/Railway enterprises/Number of enterprises at 31.12/Total/By type of enterprise/Integrated company</t>
  </si>
  <si>
    <t>Railway Transport/Enterprise Economic Performance And Employment/Investment and maintenance in rolling railway stocks/Amount of the year (national currency- millions)/Investment and maintenance expenditure in rolling stock in railway enterprises (Total)</t>
  </si>
  <si>
    <t>Railway Transport/Enterprise Economic Performance And Employment/Investment and maintenance in rolling railway stocks/Amount of the year (national currency- millions)/By expenditure type/Investment expenditure in rolling stock in railway enterprises</t>
  </si>
  <si>
    <t>Railway Transport/Enterprise Economic Performance And Employment/Investment and maintenance in rolling railway stocks/Amount of the year (national currency- millions)/By expenditure type/Maintenance expenditure in rolling stock in railway enterprises</t>
  </si>
  <si>
    <t>Railway Transport/Enterprise Economic Performance And Employment/Investment and maintenance in railway infrastructure/Amount of the year (national currency- millions)/Investment and maintenance expenditure in infrastructure in railway enterprises (Total)</t>
  </si>
  <si>
    <t>Railway Transport/Enterprise Economic Performance And Employment/Investment and maintenance in railway infrastructure/Amount of the year (national currency- millions)/By expenditure type/Investment expenditure in infrastructure in railway enterprises</t>
  </si>
  <si>
    <t>Railway Transport/Enterprise Economic Performance And Employment/Investment and maintenance in railway infrastructure/Amount of the year (national currency- millions)/By expenditure type/Maintenance expenditure in infrastructure in railway enterprises</t>
  </si>
  <si>
    <t>Railway Transport/Traffic/Train movements/Train-km [IV-07] (1000)/Total</t>
  </si>
  <si>
    <t>Railway Transport/Traffic/Train movements/Train-km [IV-07] (1000)/By type of tractive vehicle and source of power/Electric locomotives</t>
  </si>
  <si>
    <t>Incl. electric railcars</t>
  </si>
  <si>
    <t>Railway Transport/Traffic/Train movements/Train-km [IV-07] (1000)/By type of tractive vehicle and source of power/Diesel locomotives</t>
  </si>
  <si>
    <t>Incl. diesel railcars</t>
  </si>
  <si>
    <t>Railway Transport/Traffic/Train movements/Train-km [IV-07] (1000)/By type of tractive vehicle and source of power/Electric railcars</t>
  </si>
  <si>
    <t>Railway Transport/Traffic/Train movements/Train-km [IV-07] (1000)/By type of tractive vehicle and source of power/Diesel railcars</t>
  </si>
  <si>
    <t>Railway Transport/Traffic/Passenger train movements/Train-km [IV-07] (1000)/Total</t>
  </si>
  <si>
    <t>Railway Transport/Traffic/Passenger train movements/Train-km [IV-07] (1000)/Total/By type of tractive vehicle and source of power/Electric locomotives</t>
  </si>
  <si>
    <t>Railway Transport/Traffic/Passenger train movements/Train-km [IV-07] (1000)/Total/By type of tractive vehicle and source of power/Diesel locomotives</t>
  </si>
  <si>
    <t>Railway Transport/Traffic/Passenger train movements/Train-km [IV-07] (1000)/Total/By type of tractive vehicle and source of power/Electric railcars</t>
  </si>
  <si>
    <t>Railway Transport/Traffic/Passenger train movements/Train-km [IV-07] (1000)/Total/By type of tractive vehicle and source of power/Diesel railcars</t>
  </si>
  <si>
    <t>Railway Transport/Traffic/Passenger train movements/Train-km [IV-07] (1000)/Total/By type of train/High speed trains</t>
  </si>
  <si>
    <t>Railway Transport/Traffic/Passenger train movements/Train-km [IV-07] (1000)/Total/By type of train/High speed tilting trains</t>
  </si>
  <si>
    <t>Railway Transport/Traffic/Passenger train movements/Train-km [IV-07] (1000)/Total/By type of train/Conventional trains</t>
  </si>
  <si>
    <t>Railway Transport/Traffic/Goods train movements/Train-km [IV-07] (1000)/Total</t>
  </si>
  <si>
    <t>Railway Transport/Traffic/Goods train movements/Train-km [IV-07] (1000)/Total/By type of tractive vehicle and source of power/Electric locomotives</t>
  </si>
  <si>
    <t>Railway Transport/Traffic/Goods train movements/Train-km [IV-07] (1000)/Total/By type of tractive vehicle and source of power/Diesel locomotives</t>
  </si>
  <si>
    <t>Ncl. diesel railcars</t>
  </si>
  <si>
    <t>Railway Transport/Traffic/Goods train movements/Train-km [IV-07] (1000)/Total/By type of tractive vehicle and source of power/Electric railcars</t>
  </si>
  <si>
    <t>Railway Transport/Traffic/Goods train movements/Train-km [IV-07] (1000)/Total/By type of tractive vehicle and source of power/Diesel railcars</t>
  </si>
  <si>
    <t>Railway Transport/Traffic/Other train movements/Train-km [IV-07] (1000)/Total</t>
  </si>
  <si>
    <t>Railway Transport/Traffic/Hauled vehicle movements/Gross-Tonne-km (millions) [IV-14]/Total</t>
  </si>
  <si>
    <t>Railway Transport/Traffic/Hauled vehicle movements/Gross-Tonne-km (millions) [IV-14]/By type of tractive vehicle and source of power/Electric locomotives</t>
  </si>
  <si>
    <t>Railway Transport/Traffic/Hauled vehicle movements/Gross-Tonne-km (millions) [IV-14]/By type of tractive vehicle and source of power/Diesel locomotives</t>
  </si>
  <si>
    <t>Railway Transport/Traffic/Hauled vehicle movements/Gross-Tonne-km (millions) [IV-14]/By type of tractive vehicle and source of power/Electric railcars</t>
  </si>
  <si>
    <t>Railway Transport/Traffic/Hauled vehicle movements/Gross-Tonne-km (millions) [IV-14]/By type of tractive vehicle and source of power/Diesel railcars</t>
  </si>
  <si>
    <t>Railway Transport/Traffic/Hauled vehicle movements/Hauled vehicle-km [IV-9] (Millions)/Total</t>
  </si>
  <si>
    <t>Railway Transport/Traffic/Hauled vehicle movements/Hauled vehicle-km [IV-9] (Millions)/Total/By type of hauled vehicle/Passenger railway vehicles</t>
  </si>
  <si>
    <t>Railway Transport/Traffic/Hauled vehicle movements/Hauled vehicle-km [IV-9] (Millions)/Total/By type of hauled vehicle/Vans</t>
  </si>
  <si>
    <t>Railway Transport/Traffic/Hauled vehicle movements/Hauled vehicle-km [IV-9] (Millions)/Total/By type of hauled vehicle/Wagons</t>
  </si>
  <si>
    <t>Railway Transport/Traffic/Hauled vehicle movements/Hauled vehicle-km [IV-9] (Millions)/Total/By type of hauled vehicle/Wagons/By status of wagon/Loaded wagons</t>
  </si>
  <si>
    <t>Railway Transport/Traffic/Hauled vehicle movements/Hauled vehicle-km [IV-9] (Millions)/Total/By type of hauled vehicle/Wagons/By status of wagon/Empty wagons</t>
  </si>
  <si>
    <t>Railway Transport/Traffic/Hauled vehicle movements in passenger (and mixed) trains/Gross-Tonne-km (millions) [IV-14]/Total</t>
  </si>
  <si>
    <t>Railway Transport/Traffic/Hauled vehicle movements in passenger (and mixed) trains/Gross-Tonne-km (millions) [IV-14]/Total/By type of tractive vehicle and source of power/Electric locomotives</t>
  </si>
  <si>
    <t>Railway Transport/Traffic/Hauled vehicle movements in passenger (and mixed) trains/Gross-Tonne-km (millions) [IV-14]/Total/By type of tractive vehicle and source of power/Diesel locomotives</t>
  </si>
  <si>
    <t>Railway Transport/Traffic/Hauled vehicle movements in passenger (and mixed) trains/Gross-Tonne-km (millions) [IV-14]/Total/By type of tractive vehicle and source of power/Electric railcars</t>
  </si>
  <si>
    <t>Railway Transport/Traffic/Hauled vehicle movements in passenger (and mixed) trains/Gross-Tonne-km (millions) [IV-14]/Total/By type of tractive vehicle and source of power/Diesel railcars</t>
  </si>
  <si>
    <t>Railway Transport/Traffic/Hauled vehicle movements in goods (and mixed) trains/Gross-Tonne-km (millions) [IV-14]/Total</t>
  </si>
  <si>
    <t>Railway Transport/Traffic/Hauled vehicle movements in goods (and mixed) trains/Gross-Tonne-km (millions) [IV-14]/Total/By type of tractive vehicle and source of power/Electric locomotives</t>
  </si>
  <si>
    <t>Railway Transport/Traffic/Hauled vehicle movements in goods (and mixed) trains/Gross-Tonne-km (millions) [IV-14]/Total/By type of tractive vehicle and source of power/Diesel locomotives</t>
  </si>
  <si>
    <t>Railway Transport/Traffic/Hauled vehicle movements in goods (and mixed) trains/Gross-Tonne-km (millions) [IV-14]/Total/By type of tractive vehicle and source of power/Electric railcars</t>
  </si>
  <si>
    <t>Railway Transport/Traffic/Hauled vehicle movements in goods (and mixed) trains/Gross-Tonne-km (millions) [IV-14]/Total/By type of tractive vehicle and source of power/Diesel railcars</t>
  </si>
  <si>
    <t>Railway Transport/Traffic/Hauled vehicle movements in other trains/Gross-Tonne-km (millions) [IV-14]/Total</t>
  </si>
  <si>
    <t>Railway Transport/Transport Measurement/Passenger transport/Number of passengers (1000)/Total</t>
  </si>
  <si>
    <t>Railway Transport/Transport Measurement/Passenger transport/Number of passengers (1000)/By type of transport/National transport</t>
  </si>
  <si>
    <t>Railway Transport/Transport Measurement/Passenger transport/Number of passengers (1000)/By type of transport/International transport</t>
  </si>
  <si>
    <t>Railway Transport/Transport Measurement/Passenger transport/Number of passengers (1000)/By type of train/High speed trains</t>
  </si>
  <si>
    <t>Railway Transport/Transport Measurement/Passenger transport/Number of passengers (1000)/By type of train/High speed tilting trains</t>
  </si>
  <si>
    <t>Railway Transport/Transport Measurement/Passenger transport/Number of passengers (1000)/By type of train/Conventional trains</t>
  </si>
  <si>
    <t>Railway Transport/Transport Measurement/Passenger transport/Number of passenger-km [V-08] (Millions)/Total</t>
  </si>
  <si>
    <t>Railway Transport/Transport Measurement/Passenger transport/Number of passenger-km [V-08] (Millions)/By type of transport/National transport</t>
  </si>
  <si>
    <t>Railway Transport/Transport Measurement/Passenger transport/Number of passenger-km [V-08] (Millions)/By type of transport/International transport</t>
  </si>
  <si>
    <t>Railway Transport/Transport Measurement/Passenger transport/Number of passenger-km [V-08] (Millions)/By type of train/High speed trains</t>
  </si>
  <si>
    <t>Railway Transport/Transport Measurement/Passenger transport/Number of passenger-km [V-08] (Millions)/By type of train/High speed tilting trains</t>
  </si>
  <si>
    <t>Railway Transport/Transport Measurement/Passenger transport/Number of passenger-km [V-08] (Millions)/By type of train/Conventional trains</t>
  </si>
  <si>
    <t>Railway Transport/Transport Measurement/Goods transport ? by consignment and by type of transport/Tonnes (1000)/Total</t>
  </si>
  <si>
    <t>Railway Transport/Transport Measurement/Goods transport ? by consignment and by type of transport/Tonnes (1000)/By type of consignment/Full train load</t>
  </si>
  <si>
    <t>Railway Transport/Transport Measurement/Goods transport ? by consignment and by type of transport/Tonnes (1000)/By type of consignment/Full wagon load</t>
  </si>
  <si>
    <t>Railway Transport/Transport Measurement/Goods transport ? by consignment and by type of transport/Tonnes (1000)/By type of consignment/Smalls</t>
  </si>
  <si>
    <t>Railway Transport/Transport Measurement/Goods transport ? by consignment and by type of transport/Tonnes (1000)/By type of transport/National transport</t>
  </si>
  <si>
    <t>Railway Transport/Transport Measurement/Goods transport ? by consignment and by type of transport/Tonnes (1000)/By type of transport/International transport - loaded</t>
  </si>
  <si>
    <t>Data hämtas från filen Bantrafik jvg Gtrafik 1 201X</t>
  </si>
  <si>
    <t>Railway Transport/Transport Measurement/Goods transport ? by consignment and by type of transport/Tonnes (1000)/By type of transport/International transport - unloaded</t>
  </si>
  <si>
    <t>Railway Transport/Transport Measurement/Goods transport ? by consignment and by type of transport/Tonnes (1000)/By type of transport/Transit by rail throughout</t>
  </si>
  <si>
    <t>Railway Transport/Transport Measurement/Goods transport ? by consignment and by type of transport/Tonnes-km (Millions) [V-19]/Total</t>
  </si>
  <si>
    <t>Railway Transport/Transport Measurement/Goods transport ? by consignment and by type of transport/Tonnes-km (Millions) [V-19]/By type of consignment/Full train load</t>
  </si>
  <si>
    <t>Railway Transport/Transport Measurement/Goods transport ? by consignment and by type of transport/Tonnes-km (Millions) [V-19]/By type of consignment/Full wagon load</t>
  </si>
  <si>
    <t>Railway Transport/Transport Measurement/Goods transport ? by consignment and by type of transport/Tonnes-km (Millions) [V-19]/By type of consignment/Smalls</t>
  </si>
  <si>
    <t>Railway Transport/Transport Measurement/Goods transport ? by consignment and by type of transport/Tonnes-km (Millions) [V-19]/By type of transport/National transport</t>
  </si>
  <si>
    <t>Railway Transport/Transport Measurement/Goods transport ? by consignment and by type of transport/Tonnes-km (Millions) [V-19]/By type of transport/International transport - loaded</t>
  </si>
  <si>
    <t>Railway Transport/Transport Measurement/Goods transport ? by consignment and by type of transport/Tonnes-km (Millions) [V-19]/By type of transport/International transport - unloaded</t>
  </si>
  <si>
    <t>Railway Transport/Transport Measurement/Goods transport ? by consignment and by type of transport/Tonnes-km (Millions) [V-19]/By type of transport/Transit by rail throughout</t>
  </si>
  <si>
    <t>Railway Transport/Transport Measurement/National goods transport/Tonnes (1000)/Total</t>
  </si>
  <si>
    <t>Railway Transport/Transport Measurement/National goods transport/Tonnes (1000)/By distance class moved/0-49 km</t>
  </si>
  <si>
    <t>Railway Transport/Transport Measurement/National goods transport/Tonnes (1000)/By distance class moved/50-149 km</t>
  </si>
  <si>
    <t>Railway Transport/Transport Measurement/National goods transport/Tonnes (1000)/By distance class moved/150-299 km</t>
  </si>
  <si>
    <t>Railway Transport/Transport Measurement/National goods transport/Tonnes (1000)/By distance class moved/300-499 km</t>
  </si>
  <si>
    <t>Railway Transport/Transport Measurement/National goods transport/Tonnes (1000)/By distance class moved/500 km and more</t>
  </si>
  <si>
    <t>Railway Transport/Transport Measurement/National goods transport/Tonnes-km (Millions) [V-19]/Total</t>
  </si>
  <si>
    <t>Railway Transport/Transport Measurement/National goods transport/Tonnes-km (Millions) [V-19]/By distance class moved/0-49 km</t>
  </si>
  <si>
    <t>Railway Transport/Transport Measurement/National goods transport/Tonnes-km (Millions) [V-19]/By distance class moved/50-149 km</t>
  </si>
  <si>
    <t>Railway Transport/Transport Measurement/National goods transport/Tonnes-km (Millions) [V-19]/By distance class moved/150-299 km</t>
  </si>
  <si>
    <t>Railway Transport/Transport Measurement/National goods transport/Tonnes-km (Millions) [V-19]/By distance class moved/300-499 km</t>
  </si>
  <si>
    <t>Railway Transport/Transport Measurement/National goods transport/Tonnes-km (Millions) [V-19]/By distance class moved/500 km and more</t>
  </si>
  <si>
    <t>Kontaktpersoner Trafikanalys:</t>
  </si>
  <si>
    <t>Innehåll</t>
  </si>
  <si>
    <t>Contents</t>
  </si>
  <si>
    <t>Teckenförklaring/Legends</t>
  </si>
  <si>
    <t>Teckenförklaring</t>
  </si>
  <si>
    <t>Legends</t>
  </si>
  <si>
    <t>uppgift inte tillgänglig eller alltför osäker</t>
  </si>
  <si>
    <t>data not available</t>
  </si>
  <si>
    <t>uppgift kan inte förekomma</t>
  </si>
  <si>
    <t>not applicable</t>
  </si>
  <si>
    <t>noll (inget finns att redovisa)</t>
  </si>
  <si>
    <t>zero</t>
  </si>
  <si>
    <t>mindre än hälften av enheten, men större än noll</t>
  </si>
  <si>
    <t>less than half of unit used, but more than zero</t>
  </si>
  <si>
    <t>korrigerad uppgift</t>
  </si>
  <si>
    <t>corrected figure</t>
  </si>
  <si>
    <t>reviderad uppgift</t>
  </si>
  <si>
    <t>revised figure</t>
  </si>
  <si>
    <t>betydande skillnad i jämförbarheten i en tidsserie markeras med en horisontell eller vertikal linje</t>
  </si>
  <si>
    <t>significant difference in the comparability of time series are marked with a horizontal or vertical line</t>
  </si>
  <si>
    <t>Innehållsförteckning/Contents</t>
  </si>
  <si>
    <t>https://ec.europa.eu/eurostat/data/database</t>
  </si>
  <si>
    <t>Tabell 2.2. Personal för infrastrukturarbeten och trafikledning – Järnvägar.</t>
  </si>
  <si>
    <t>Table 2.2. Staff strength for infrastructure works and traffic control – Railways.</t>
  </si>
  <si>
    <t>Tabell 2.6. Personal för infrastrukturarbeten och trafikledning – Tunnelbanan.</t>
  </si>
  <si>
    <t>Table 2.6. Staff strength for infrastructure works and traffic control – Metro.</t>
  </si>
  <si>
    <t>Tabell 2.7. Infrastruktur, trafikerad banlängd efter län – Järnvägar.</t>
  </si>
  <si>
    <t>Table 2.7. Infrastructure, length of lines worked by county – Railways.</t>
  </si>
  <si>
    <t>Tabell 3.1. Dragfordon – Järnvägar.</t>
  </si>
  <si>
    <t>Table 3.1. Tractive stock – Railways.</t>
  </si>
  <si>
    <t>Tabell 3.2. Dragfordon – Spårvägar.</t>
  </si>
  <si>
    <t>Table 3.2. Tractive stock – Trams.</t>
  </si>
  <si>
    <t>Table 3.3. Tractive stock – Metro.</t>
  </si>
  <si>
    <t>Tabell 3.3. Dragfordon – Tunnelbanan.</t>
  </si>
  <si>
    <t>Tabell 4.1. Trafik – Järnvägar.</t>
  </si>
  <si>
    <t>Table 4.1. Traffic – Railways.</t>
  </si>
  <si>
    <t>Tabell 4.2. Trafik – Spårvägar.</t>
  </si>
  <si>
    <t>Table 4.2. Traffic – Trams.</t>
  </si>
  <si>
    <t>Tabell 4.3. Trafik – Tunnelbanan.</t>
  </si>
  <si>
    <t>Table 4.3. Traffic – Metro.</t>
  </si>
  <si>
    <t>Tabell 4.4. Personal för trafik – Järnvägar.</t>
  </si>
  <si>
    <t>Table 4.4. Staff strength for traffic – Railways.</t>
  </si>
  <si>
    <t>Tabell 4.5. Personal för trafik – Spårvägar.</t>
  </si>
  <si>
    <t>Table 4.5. Staff strength for traffic – Trams.</t>
  </si>
  <si>
    <t>Tabell 4.6. Personal för trafik – Tunnelbanan.</t>
  </si>
  <si>
    <r>
      <t>Tågoperatörer</t>
    </r>
    <r>
      <rPr>
        <i/>
        <sz val="10"/>
        <rFont val="Arial"/>
        <family val="2"/>
      </rPr>
      <t xml:space="preserve">                                           Rail undertakings</t>
    </r>
  </si>
  <si>
    <r>
      <t>Huvudmän</t>
    </r>
    <r>
      <rPr>
        <i/>
        <sz val="10"/>
        <rFont val="Arial"/>
        <family val="2"/>
      </rPr>
      <t xml:space="preserve">                                                  Bodies</t>
    </r>
  </si>
  <si>
    <t>Tabell 2.4. Personal för infrastrukturarbeten och trafikledning – Spårvägar.</t>
  </si>
  <si>
    <t>Table 2.4. Staff strength for infrastructure works and traffic control – Trams.</t>
  </si>
  <si>
    <t>Table 4.6. Staff strength for traffic – Metro.</t>
  </si>
  <si>
    <t>Tabell 3.4. Transportfordon godstrafik – Järnvägar.</t>
  </si>
  <si>
    <t>Table 3.4. Transport stock freight traffic – Railways.</t>
  </si>
  <si>
    <t>Tabell 3.5. Transportfordon persontrafik – Järnvägar.</t>
  </si>
  <si>
    <t>Table 3.5. Transport stock passenger traffic – Railways.</t>
  </si>
  <si>
    <t>Tabell 3.6. Transportfordon – Spårvägar.</t>
  </si>
  <si>
    <t>Table 3.6. Transport stock – Trams.</t>
  </si>
  <si>
    <t>Tabell 3.7. Transportfordon – Tunnelbanan.</t>
  </si>
  <si>
    <t>Table 3.7. Transport stock – Metro.</t>
  </si>
  <si>
    <r>
      <rPr>
        <b/>
        <sz val="10"/>
        <rFont val="Arial"/>
        <family val="2"/>
      </rPr>
      <t xml:space="preserve">Rad 1: </t>
    </r>
    <r>
      <rPr>
        <sz val="10"/>
        <rFont val="Arial"/>
        <family val="2"/>
      </rPr>
      <t>Anger antalet lokdragna sittvagnar.</t>
    </r>
  </si>
  <si>
    <r>
      <rPr>
        <b/>
        <sz val="10"/>
        <rFont val="Arial"/>
        <family val="2"/>
      </rPr>
      <t xml:space="preserve">Rad 2: </t>
    </r>
    <r>
      <rPr>
        <sz val="10"/>
        <rFont val="Arial"/>
        <family val="2"/>
      </rPr>
      <t>Anger antalet lokdragna liggvagnar.</t>
    </r>
  </si>
  <si>
    <r>
      <rPr>
        <b/>
        <sz val="10"/>
        <rFont val="Arial"/>
        <family val="2"/>
      </rPr>
      <t xml:space="preserve">Rad 3: </t>
    </r>
    <r>
      <rPr>
        <sz val="10"/>
        <rFont val="Arial"/>
        <family val="2"/>
      </rPr>
      <t>Anger antalet lokdragna sovvagnar.</t>
    </r>
  </si>
  <si>
    <r>
      <rPr>
        <b/>
        <sz val="10"/>
        <rFont val="Arial"/>
        <family val="2"/>
      </rPr>
      <t xml:space="preserve">Rad 4: </t>
    </r>
    <r>
      <rPr>
        <sz val="10"/>
        <rFont val="Arial"/>
        <family val="2"/>
      </rPr>
      <t>Anger antalet lokdragna restaurangvagnar.</t>
    </r>
  </si>
  <si>
    <r>
      <rPr>
        <b/>
        <sz val="10"/>
        <rFont val="Arial"/>
        <family val="2"/>
      </rPr>
      <t xml:space="preserve">Rad 5: </t>
    </r>
    <r>
      <rPr>
        <sz val="10"/>
        <rFont val="Arial"/>
        <family val="2"/>
      </rPr>
      <t>Anger antalet lokdragna resgodsvagnar. Vagnar med resgodsutrymme och sittplatser redovisas i rad 35 som sittvagnar.</t>
    </r>
  </si>
  <si>
    <r>
      <rPr>
        <b/>
        <sz val="10"/>
        <rFont val="Arial"/>
        <family val="2"/>
      </rPr>
      <t xml:space="preserve">Rad 6: </t>
    </r>
    <r>
      <rPr>
        <sz val="10"/>
        <rFont val="Arial"/>
        <family val="2"/>
      </rPr>
      <t>Anger antalet lokdragna postvagnar i persontrafik (se även rad 4).</t>
    </r>
  </si>
  <si>
    <r>
      <rPr>
        <b/>
        <sz val="10"/>
        <rFont val="Arial"/>
        <family val="2"/>
      </rPr>
      <t xml:space="preserve">Rad 7: </t>
    </r>
    <r>
      <rPr>
        <sz val="10"/>
        <rFont val="Arial"/>
        <family val="2"/>
      </rPr>
      <t>Anger antalet lokdragna specialvagnar.</t>
    </r>
  </si>
  <si>
    <r>
      <rPr>
        <b/>
        <sz val="10"/>
        <rFont val="Arial"/>
        <family val="2"/>
      </rPr>
      <t xml:space="preserve">Rad 8: </t>
    </r>
    <r>
      <rPr>
        <sz val="10"/>
        <rFont val="Arial"/>
        <family val="2"/>
      </rPr>
      <t>Anger summan av alla lokdragna vagnar i persontrafik.</t>
    </r>
  </si>
  <si>
    <t xml:space="preserve">1. Sammandrag över järnvägstrafiken i Sverige </t>
  </si>
  <si>
    <t>2. Infrastruktur</t>
  </si>
  <si>
    <t>3. Fordon</t>
  </si>
  <si>
    <t>4. Trafik och transporter</t>
  </si>
  <si>
    <r>
      <rPr>
        <b/>
        <sz val="10"/>
        <rFont val="Arial"/>
        <family val="2"/>
      </rPr>
      <t>Kolumn 17–19:</t>
    </r>
    <r>
      <rPr>
        <sz val="10"/>
        <rFont val="Arial"/>
        <family val="2"/>
      </rPr>
      <t xml:space="preserve"> Anger den tillgängliga personalstyrkan för järnvägstrafik. Uppgiften omfattar ett medeltal av all personal anställda av företag verksamma med järnvägstrafik inklusive trafikledningspersonal. Medeltalen beräknas som antalet nedlagda timmar under året dividerat med årets normalarbetstid för berörd personal. Personal för busstrafik, sjöfart, banarbeten samt privata entreprenörer och konsulter ingår inte i uppgiften. Se definitionen för tabell 4.4 rad 1–9 för en djupare förklaring av personalstyrkan för järnvägstrafik.</t>
    </r>
  </si>
  <si>
    <r>
      <rPr>
        <b/>
        <sz val="10"/>
        <rFont val="Arial"/>
        <family val="2"/>
      </rPr>
      <t>Kolumn 20:</t>
    </r>
    <r>
      <rPr>
        <sz val="10"/>
        <rFont val="Arial"/>
        <family val="2"/>
      </rPr>
      <t xml:space="preserve"> Anger antalet lokdragna personvagnar samt antalet fordon med sittplatser i motorvagnar och motorvagnssätt för kommersiell persontrafik i Sverige.
Med motorvagn avses ett fordon med drivande axlar som har utrymme för transport av gods eller passagerare och som kan framföras ensamt. En motorvagn kännetecknas av att den har en förarhytt i varje ände. Motorvagnar kan framföras kopplade till varandra. Exempel på motorvagn är fordon med littera Y1.
Med motorvagnssätt avses två eller fler permanent sammankopplade fordon med eller utan drivande axlar som har utrymme för transport av gods eller passagerare, varav minst ett fordon har dragande axlar och där de ingående fordonen inte kan framföras var för sig som en motorvagn. Ett motorvagnssätt kännetecknas av att endast ändfordonen har förarhytt. Vissa motorvagnssätt kan framföras kopplade till varandra. Exempel på motorvagnssätt är fordon med littera X2, X55, X14, Y2 och Y32. I motorvagnssätt räknas varje ingående enhet som ett fordon. 
Se även definitionerna för tabellerna i avsnitt </t>
    </r>
    <r>
      <rPr>
        <i/>
        <sz val="10"/>
        <rFont val="Arial"/>
        <family val="2"/>
      </rPr>
      <t>3. Fordon</t>
    </r>
    <r>
      <rPr>
        <sz val="10"/>
        <color rgb="FFFF0000"/>
        <rFont val="Arial"/>
        <family val="2"/>
      </rPr>
      <t xml:space="preserve"> </t>
    </r>
    <r>
      <rPr>
        <sz val="10"/>
        <rFont val="Arial"/>
        <family val="2"/>
      </rPr>
      <t xml:space="preserve">för mer information om varje vagnstyp. Endast fordon som står till någon tågoperatörs förfogande ingår. Med det menas att fordonen ägs, hyrs eller på annat sätt ställs till förfogande, även om de är på reparation, förvaras i användbart eller icke-användbart skick, eller tillfälligtvis används i normal trafik utomlands. Uthyrda fordon räknas bara en gång. Fordon som ej används för kommersiell trafik eller är avställda för försäljning eller skrotning anses inte stå till förfogande. Uppgifterna redovisar situationen vid årets slut.  </t>
    </r>
  </si>
  <si>
    <r>
      <t xml:space="preserve">Tabeller i avsnitt </t>
    </r>
    <r>
      <rPr>
        <i/>
        <sz val="10"/>
        <rFont val="Arial"/>
        <family val="2"/>
      </rPr>
      <t>1. Sammandrag över järnvägstrafiken i Sverige</t>
    </r>
    <r>
      <rPr>
        <sz val="10"/>
        <rFont val="Arial"/>
        <family val="2"/>
      </rPr>
      <t xml:space="preserve"> innehåller uppgifter om järnvägstrafiken i Sverige på längre sikt. Bland annat återfinns infrastruktur-, personal-, fordons- och trafikuppgifter ända tillbaka till 1856. Om inte annat anges gäller uppgifterna situationen vid årets slut.</t>
    </r>
  </si>
  <si>
    <t>Tabeller som börjar med C innehåller uppgifter om fordon och fordonens egenskaper. Med fordon menas mobil utrustning som endast framförs på spår och som antingen förflyttar sig av egen kraft (fordon med drivande axlar) eller som dras av ett annat fordon. I statistiken redovisas fordonen i två olika kategorier, dragfordon och transportfordon. Dessa kan sedan indelas i tre olika underkategorier:
- Fordon med drivande axlar som inte har utrymme för transport av gods eller passagerare. Exempel på sådana är lok och lokomotorer.
- Fordon med drivande axlar som har utrymme för transport av gods eller passagerare. Exempel på sådana fordon är motorvagnar och de enheter i motorvagnssätt som har drivande axlar. 
- Fordon utan drivande axlar som har utrymme för transport av gods eller passagerare. Exempel på sådana är lokdragna gods- och personvagnar samt enheter i motorvagnssätt som inte har drivande axlar.  
Fordon med drivande axlar oavsett om de har eller inte har utrymme för transport av gods och passagerare redovisas i statistiken som dragfordon och redovisas i tabell 3.1–3.3. Fordon med utrymme för transport av gods och passagerare redovisas i statistiken som transportfordon oavsett om fordonet har drivande axlar eller inte och redovisas i tabell 3.4–3.7. 
Observera att fordon med drivande axlar som har utrymme för transport av gods eller passagerare förekommer både i tabellerna om dragfordon och tabellerna om transportfordon. 
Endast fordon som står till någon tågoperatörs förfogande ingår. Med det menas att fordonen ägs, hyrs eller på annat sätt ställs till förfogande, även om de är på reparation, förvaras i användbart eller icke-användbart skick, eller tillfälligtvis används i normal trafik utomlands. Uthyrda fordon räknas bara en gång. Fordon som ej används för kommersiell trafik eller är avställda för försäljning eller skrotning anses inte stå till förfogande. Om inte annat anges redovisar uppgifterna situationen vid årets slut. 
Ovanstående definitioner och indelningsgrunder för motorvagnar och motorvagnssätt gäller även för fordon i spårvägs- och tunnelbanetrafik.</t>
  </si>
  <si>
    <r>
      <t xml:space="preserve">Rad 30: </t>
    </r>
    <r>
      <rPr>
        <sz val="10"/>
        <rFont val="Arial"/>
        <family val="2"/>
      </rPr>
      <t>Anger summan av dragfordon i motorvagnar och motorvagnssätt (rad 22, 24, 27 och 28).
Dessa ingår även i tabell 3.5 (transportfordon), rad 9 och 11.</t>
    </r>
  </si>
  <si>
    <r>
      <rPr>
        <b/>
        <sz val="10"/>
        <rFont val="Arial"/>
        <family val="2"/>
      </rPr>
      <t xml:space="preserve">Rad 1: </t>
    </r>
    <r>
      <rPr>
        <sz val="10"/>
        <rFont val="Arial"/>
        <family val="2"/>
      </rPr>
      <t xml:space="preserve">Anger antalet eldrivna fordon med drivande axlar oavsett om de har utrymme för transport av passagerare eller inte.
Inom tunnelbana har alla fordon utrymme för transport av passagerare och ingår således även i tabell 3.7.
</t>
    </r>
  </si>
  <si>
    <r>
      <rPr>
        <b/>
        <sz val="10"/>
        <rFont val="Arial"/>
        <family val="2"/>
      </rPr>
      <t xml:space="preserve">Rad 1: </t>
    </r>
    <r>
      <rPr>
        <sz val="10"/>
        <rFont val="Arial"/>
        <family val="2"/>
      </rPr>
      <t xml:space="preserve">Anger antalet eldrivna fordon med drivande axlar oavsett om de har utrymme för transport av passagerare eller inte.
Inom spårvägar har alla fordon utrymme för transport av passagerare och ingår således även i tabell 3.6.
</t>
    </r>
  </si>
  <si>
    <r>
      <t xml:space="preserve">Rad 9: </t>
    </r>
    <r>
      <rPr>
        <sz val="10"/>
        <rFont val="Arial"/>
        <family val="2"/>
      </rPr>
      <t>Anger antalet fordon med sittplatser i motorvagnar och motorvagnssätt.
Med motorvagn avses ett fordon med drivande axlar som har utrymme för transport av gods eller passagerare och som kan framföras ensamt. En motorvagn kännetecknas av att den har en förarhytt i varje ände. Motorvagnar kan framföras kopplade till varandra. Exempel på motorvagn är fordon med littera Y1.
Med motorvagnssätt avses två eller fler permanent sammankopplade fordon med eller utan drivande axlar som har utrymme för transport av gods eller passagerare, varav minst ett fordon har dragande axlar och där de ingående fordonen inte kan framföras var för sig som en motorvagn. Ett motorvagnssätt kännetecknas av att endast ändfordonen har förarhytt. Vissa motorvagnssätt kan framföras kopplade till varandra. Exempel på motorvagnssätt är fordon med littera X2, X55, X14, Y2 och Y32. I motorvagnssätt räknas varje ingående enhet som ett fordon. 
Har fordonet drivande axlar ingår de också i tabell 3.1.</t>
    </r>
  </si>
  <si>
    <r>
      <rPr>
        <b/>
        <sz val="10"/>
        <rFont val="Arial"/>
        <family val="2"/>
      </rPr>
      <t>Rad 1</t>
    </r>
    <r>
      <rPr>
        <sz val="10"/>
        <rFont val="Arial"/>
        <family val="2"/>
      </rPr>
      <t>: Anger antalet ingående fordon i spårvagnar och spårvagnssätt. Varje ingående enhet räknas som ett separat fordon. 
Inom spårvägar har alla fordon med drivande axlar även utrymme för transport av passagerare och ingår således även i tabell 3.2.</t>
    </r>
  </si>
  <si>
    <r>
      <rPr>
        <b/>
        <sz val="10"/>
        <rFont val="Arial"/>
        <family val="2"/>
      </rPr>
      <t xml:space="preserve">Rad 1: </t>
    </r>
    <r>
      <rPr>
        <sz val="10"/>
        <rFont val="Arial"/>
        <family val="2"/>
      </rPr>
      <t xml:space="preserve">Anger antalet ingående fordon i tunnelbanevagnssätt. Varje ingående enhet räknas som ett separat fordon. 
Inom tunnelbana har alla fordon med drivande axlar även utrymme för transport av passagerare och ingår således även i tabell 3.3.
</t>
    </r>
  </si>
  <si>
    <r>
      <rPr>
        <b/>
        <sz val="10"/>
        <rFont val="Arial"/>
        <family val="2"/>
      </rPr>
      <t>Rad 1–9:</t>
    </r>
    <r>
      <rPr>
        <sz val="10"/>
        <rFont val="Arial"/>
        <family val="2"/>
      </rPr>
      <t xml:space="preserve"> Anger den tillgängliga personalstyrkan i medeltal, verksam i järnvägstrafik, totalt och fördelat på typ av trafik och kön. Med tillgänglig personal för trafik menas den anställda personal som under året, till någon del av sin arbetstid, varit verksam med järnvägstrafik.
Uppgiften omfattar all den personal som är anställd av tågoperatörer, och vars arbete har så direkt anknytning till trafiken att de skulle bli utan sysselsättning om trafiken upphörde. Personal anställda av andra företag vars arbete har samma anknytning till trafiken ingår, om dessa märkbart påverkar statistiken. Personal i verkstäder eller motsvarande ingår endast om de är anställda av en operatör. 
Trafikledningspersonal ingår inte här utan redovisas i tabellerna 2.2, 2.4 och 2.6. Med trafikledningspersonal avses den personal som leder tågen på banan. Personal som är verksam med ledning av trafik och transporter, men som inte leder tågen på banan ingår i tabell 4.4. Övriga entreprenörer och konsulter ingår inte.
Uppgifterna beräknas som antalet nedlagda timmar i järnvägstrafik under året dividerat med årets normalarbetstid för berörd personal.</t>
    </r>
  </si>
  <si>
    <r>
      <rPr>
        <b/>
        <sz val="10"/>
        <rFont val="Arial"/>
        <family val="2"/>
      </rPr>
      <t xml:space="preserve">Rad 1–3: </t>
    </r>
    <r>
      <rPr>
        <sz val="10"/>
        <rFont val="Arial"/>
        <family val="2"/>
      </rPr>
      <t>Anger den tillgängliga personalstyrkan i medeltal, verksam i spårvägstrafik, totalt och fördelat på kön. I övrigt samma definitioner som i tabell 4.4.</t>
    </r>
  </si>
  <si>
    <r>
      <rPr>
        <b/>
        <sz val="10"/>
        <rFont val="Arial"/>
        <family val="2"/>
      </rPr>
      <t xml:space="preserve">Rad 1–3: </t>
    </r>
    <r>
      <rPr>
        <sz val="10"/>
        <rFont val="Arial"/>
        <family val="2"/>
      </rPr>
      <t>Anger den tillgängliga personalstyrkan i medeltal, verksam i tunnelbanetrafik, totalt och fördelat på kön. I övrigt samma definitioner som i tabell 4.4.</t>
    </r>
  </si>
  <si>
    <t>Definitionerna beskriver vad tabellernas rader alternativt kolumner innefattar. För att inte behöva återge all information som berör flera rader/kolumner sammanfattas delar av definitionerna under respektive tabellavsnitt och tabellnummer. Dessa delar bör läsas först.</t>
  </si>
  <si>
    <t>Statistiken om infrastruktur och infrastrukturförvaltare omfattar endast trafikerade banor. Banor och spårdelar ingår om de tillfälligt tagits ur bruk på grund av banarbeten och dylikt. Banor och spårdelar som inte trafikerats exkluderas om trafiken lagts ned permanent. Så även vid omfattande nykonstruktions- och ombyggnadsarbeten (aktuella fall kommenteras i tabellerna).</t>
  </si>
  <si>
    <r>
      <rPr>
        <vertAlign val="superscript"/>
        <sz val="8"/>
        <rFont val="Arial"/>
        <family val="2"/>
      </rPr>
      <t>1</t>
    </r>
    <r>
      <rPr>
        <sz val="8"/>
        <rFont val="Arial"/>
        <family val="2"/>
      </rPr>
      <t xml:space="preserve"> På grund av förändrade insamlings- och bearbetningsmetoder är statistiken för 2018 inte jämförbar med tidigare år och skattas till högre nivåer än tidigare. På totalnivå finns indikationer, baserat på utvecklingen av variabeln bruttotonkilometer i Trafikverkets system, att det finns en faktisk ökning av transportarbetet mellan 2017 och 2018. 
Mer information om tidsseriebrottet finns i kvalitetsdeklarationen.
  </t>
    </r>
    <r>
      <rPr>
        <i/>
        <sz val="8"/>
        <rFont val="Arial"/>
        <family val="2"/>
      </rPr>
      <t>Due to changed collection and processing methods, data for 2018 are not comparable with previous years and are estimated at higher levels than before. At the total level, there are indications, based on the development of the gross tonne-kilometer variable, that there is an actual increase in transport performance between 2017 and 2018.</t>
    </r>
  </si>
  <si>
    <t>Note: Ore on the Ore Railway includes all goods transported and transport performance on the Ore Railway, as reported by LKAB Malmtrafik AB and Kaunis Iron AB. Other transport of ore is reported on other lines in the table.</t>
  </si>
  <si>
    <t xml:space="preserve">Note: Data on privately owned wagons are not available for some </t>
  </si>
  <si>
    <t xml:space="preserve">Chemicals, chemical products, man-made fibers, rubber and plastic products, nuclear fuel
   </t>
  </si>
  <si>
    <t>Equipment and material utilized in the transport of goods</t>
  </si>
  <si>
    <r>
      <t xml:space="preserve">04. Livsmedel, drycker och tobak / </t>
    </r>
    <r>
      <rPr>
        <i/>
        <sz val="8"/>
        <rFont val="Arial"/>
        <family val="2"/>
      </rPr>
      <t>Food products, beverages and tobacco</t>
    </r>
  </si>
  <si>
    <r>
      <t xml:space="preserve">02. Kol, råolja och naturgas / </t>
    </r>
    <r>
      <rPr>
        <i/>
        <sz val="8"/>
        <rFont val="Arial"/>
        <family val="2"/>
      </rPr>
      <t xml:space="preserve">	Coal and lignite, crude petroleum and natural gas</t>
    </r>
  </si>
  <si>
    <t>01. Produkter från jordbruk, skogsbruk och fiske /</t>
  </si>
  <si>
    <t>05. Textil och beklädnadsvaror, läder och lädervaror /</t>
  </si>
  <si>
    <t>07. Stenkolsprodukter och raffinerade petroleumprodukter /</t>
  </si>
  <si>
    <t>08. Kemikalier, kemiska produkter, konstfiber, gummi- och plastvaror samt kärnbränsle /</t>
  </si>
  <si>
    <t>03. Malm och andra produkter från utvinning / Ore and other extracting products</t>
  </si>
  <si>
    <t>10. Metallvaror exklusive maskiner och utrustning /</t>
  </si>
  <si>
    <t>09. Andra icke-metalliska mineraliska produkter / Other non-metallic mineral products</t>
  </si>
  <si>
    <t xml:space="preserve">Tonnes carried </t>
  </si>
  <si>
    <t>(in thousands)</t>
  </si>
  <si>
    <t xml:space="preserve">Transport performance                                                               </t>
  </si>
  <si>
    <t>(million tonne-kilometres)</t>
  </si>
  <si>
    <t>6.1-6.3: kvartalsdata från Eurostat, se excelfil i mappen.</t>
  </si>
  <si>
    <t>Källa: Euostat. Senast uppdaterad 2021-05-14</t>
  </si>
  <si>
    <t xml:space="preserve"> Vy Buss AB</t>
  </si>
  <si>
    <t xml:space="preserve"> Region Kalmar län</t>
  </si>
  <si>
    <t xml:space="preserve"> Region Sörmland</t>
  </si>
  <si>
    <t xml:space="preserve"> Transdev Uppland AB</t>
  </si>
  <si>
    <t xml:space="preserve">Under 2019 har uppgifter om ATC och planskilda korsningar </t>
  </si>
  <si>
    <t xml:space="preserve">i Trafikverkets baninformationssystem kvalitetssäkrats och </t>
  </si>
  <si>
    <t xml:space="preserve">reviderats. Detta medför att statistiken för 2019 inte är helt </t>
  </si>
  <si>
    <t>jämförbar med tidigare år. Due to quality checks, the 2019</t>
  </si>
  <si>
    <t xml:space="preserve">data on ATC and grade-separated crossings have been </t>
  </si>
  <si>
    <t xml:space="preserve">revised. The statistics for 2019 are therefore not completely </t>
  </si>
  <si>
    <t>comparable with previous years.</t>
  </si>
  <si>
    <r>
      <t xml:space="preserve">2 </t>
    </r>
    <r>
      <rPr>
        <sz val="8"/>
        <rFont val="Arial"/>
        <family val="2"/>
      </rPr>
      <t xml:space="preserve">Under 2019 har uppgifter om ATC och planskilda korsningar i Trafikverkets baninformationssystem kvalitetssäkrats och reviderats. Detta medför att statistiken för 2019 inte är helt jämförbar med tidigare år. </t>
    </r>
    <r>
      <rPr>
        <i/>
        <sz val="8"/>
        <rFont val="Arial"/>
        <family val="2"/>
      </rPr>
      <t>Due to quality checks, the 2019 data on ATC and grade-separated crossings have been revised. The statistics for 2019 are therefore not completely comparable with previous years.</t>
    </r>
  </si>
  <si>
    <r>
      <t xml:space="preserve">3 </t>
    </r>
    <r>
      <rPr>
        <sz val="8"/>
        <rFont val="Arial"/>
        <family val="2"/>
      </rPr>
      <t xml:space="preserve">På grund av myndighetsbeslut har plattformsanläggningar, servicevägar etc. omklassificerats till plankorsningar. Omklassificering har gjorts för åren 2015, samt 2017–2019 och medför att statistiken för 2015–2019 inte är helt jämförbar med tidigare år. </t>
    </r>
    <r>
      <rPr>
        <i/>
        <sz val="8"/>
        <rFont val="Arial"/>
        <family val="2"/>
      </rPr>
      <t>Due to authority decisions, platform installations, crossings in service roads etc. has been reclassified to level crossings. Reclassification has been done for 2015 and 2017–2019, and the statistics for 2015–2019 are therefore not completely comparable with previous years.</t>
    </r>
  </si>
  <si>
    <r>
      <t xml:space="preserve">4 </t>
    </r>
    <r>
      <rPr>
        <sz val="8"/>
        <rFont val="Arial"/>
        <family val="2"/>
      </rPr>
      <t xml:space="preserve">På grund av förändrad anslagsstruktur inom Trafikverket redovisas investeringar enligt nya principer från och med 2015, vilket medför att statistiken för 2015 inte är helt jämförbar med tidigare år. </t>
    </r>
    <r>
      <rPr>
        <i/>
        <sz val="8"/>
        <rFont val="Arial"/>
        <family val="2"/>
      </rPr>
      <t>Due to changes in accounting within the Swedish Transport Administration, investments are presented according to new principles for 2015 onwards, and are therefore not completely comparable with previous years.</t>
    </r>
  </si>
  <si>
    <t>Spårväg Lund</t>
  </si>
  <si>
    <t>Lund tram system</t>
  </si>
  <si>
    <r>
      <rPr>
        <vertAlign val="superscript"/>
        <sz val="8"/>
        <rFont val="Arial"/>
        <family val="2"/>
      </rPr>
      <t>1</t>
    </r>
    <r>
      <rPr>
        <sz val="8"/>
        <rFont val="Arial"/>
        <family val="2"/>
      </rPr>
      <t xml:space="preserve"> 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
  Due to changed collection and processing methods, data from 2018 are not comparable with previous years. Some of the changes made resulted in higher estimates than before, while others gave a lower one. Therefore, the effect of the changes is clearest in the subgroups.</t>
    </r>
  </si>
  <si>
    <t>Statistiken från och med 2018 är inte jämförbar med tidigare år på grund av förändrade insamlings- och bearbetningsmetoder. Vissa förändringar resulterar i högre skattningar än tidigare, medan andra ger lägre. Därför framgår effekten av förändringarna tydligast i de olika redovisningsgrupperna. Mer information om förändringarna finns i kvalitetsdeklarationen.</t>
  </si>
  <si>
    <t>Statistiken från och med 2018 är inte jämförbar med tidigare år på grund av förändrade insamlings- och bearbetningsmetoder. Vissa förändringar resulterar i högre skattningar än tidigare, medan andra ger lägre. Mer information om förändringarna finns i kvalitetsdeklarationen.</t>
  </si>
  <si>
    <t>Statistiken från och med 2018 är inte jämförbar med tidigare år på grund av förändrade insamlings- och bearbetningsmetoder. Mer information om förändringarna finns i kvalitetsdeklarationen.</t>
  </si>
  <si>
    <t>För Sverige är statistiken från och med 2018 är inte jämförbar med tidigare år på grund av förändrade insamlings- och bearbetningsmetoder. Vissa förändringar resulterar i högre skattningar än tidigare, medan andra ger lägre. Mer information om förändringarna finns i kvalitetsdeklarationen.</t>
  </si>
  <si>
    <t xml:space="preserve">Statistiken från och med 2018 är inte jämförbar med tidigare år på grund av </t>
  </si>
  <si>
    <t xml:space="preserve">förändrade insamlings- och bearbetningsmetoder. Vissa förändringar </t>
  </si>
  <si>
    <t xml:space="preserve">resulterar i högre skattningar än tidigare, medan andra ger lägre. Därför framgår </t>
  </si>
  <si>
    <t xml:space="preserve">effekten av förändringarna tydligast i de olika redovisningsgrupperna. Mer </t>
  </si>
  <si>
    <t>information om förändringarna finns i kvalitetsdeklarationen.</t>
  </si>
  <si>
    <t xml:space="preserve">Due to changed collection and processing methods, data from 2018 are not </t>
  </si>
  <si>
    <t xml:space="preserve">comparable with previous years. Some of the changes made resulted in higher </t>
  </si>
  <si>
    <t xml:space="preserve">estimates than before, while others gave a lower one. Therefore, the effect of </t>
  </si>
  <si>
    <t>the changes is clearest in the subgroups.</t>
  </si>
  <si>
    <t>Note: A few respondents changed their method to estimate the number of journeys and transport performance between 2016 and 2017. It resulted in higher estimates than before. The same thing occurred in 2020 which resulted in an increase in number of journeys with about 3 percent.</t>
  </si>
  <si>
    <t>Tabell 1.1. Historisk översikt – Järnvägar (sida 2).</t>
  </si>
  <si>
    <t>Table 1.1. Historical overview – Railways (page 2).</t>
  </si>
  <si>
    <t>Table 1.1. Historical overview – Railways (page 3).</t>
  </si>
  <si>
    <t>Tabell 1.1. Historisk översikt – Järnvägar (sida 3).</t>
  </si>
  <si>
    <t>Tabell 1.1. Historisk översikt – Järnvägar (sida 4).</t>
  </si>
  <si>
    <t>Tabell 1.1. Historisk översikt – Järnvägar (sida 1).</t>
  </si>
  <si>
    <t>Table 1.1. Historical overview – Railways (page 1).</t>
  </si>
  <si>
    <t>Tabell 1.1. Historisk översikt – Järnvägar (sida 1–4)</t>
  </si>
  <si>
    <t xml:space="preserve">Anmärkning: Uppgifter om privatvagnar finns inte tillgängliga för alla </t>
  </si>
  <si>
    <t>operatörer sedan 2011.</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</si>
  <si>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t>
  </si>
  <si>
    <t xml:space="preserve">Anmärkning: Mellan 2016 och 2017 har förändrade skattningsmetoder av resandet hos vissa uppgiftslämnare resulterat i en ökning av antalet resor och transportarbete. </t>
  </si>
  <si>
    <t>Samma sak inträffade mellan 2019 och 2020 vilket resulterade i en ökning av antalet resor med cirka 3 procent.</t>
  </si>
  <si>
    <r>
      <rPr>
        <i/>
        <sz val="8"/>
        <rFont val="Arial"/>
        <family val="2"/>
      </rPr>
      <t>Note: A few respondents changed their method to estimate the number of journeys and transport performance between 2016 and 2017. It resulted in higher estimates than</t>
    </r>
  </si>
  <si>
    <t>before. The same thing occurred in 2020 which resulted in an increase in number of journeys with about 3 percent.</t>
  </si>
  <si>
    <r>
      <t xml:space="preserve">Anmärkning: Med kombitransporter menas här transporter av lastenheter lämpliga för kombitransporter.
</t>
    </r>
    <r>
      <rPr>
        <i/>
        <sz val="8"/>
        <color theme="1"/>
        <rFont val="Arial"/>
        <family val="2"/>
      </rPr>
      <t>Note:</t>
    </r>
    <r>
      <rPr>
        <sz val="8"/>
        <color theme="1"/>
        <rFont val="Arial"/>
        <family val="2"/>
      </rPr>
      <t xml:space="preserve"> </t>
    </r>
    <r>
      <rPr>
        <i/>
        <sz val="8"/>
        <rFont val="Arial"/>
        <family val="2"/>
      </rPr>
      <t>Here intermodal transport means transport of units suitable for intermodal transport.</t>
    </r>
  </si>
  <si>
    <t>Anmärkning: Före 2009 ingår inte transit från Norge till Norge i statistiken. Detta medför att utrikes transporter före 2009 inte är jämförbar med senare år.</t>
  </si>
  <si>
    <t>Anmärkning: Före 2009 ingår inte transit från Norge till Norge i statistiken. Detta medför att utrikes transportarbete före 2009 inte är jämförbart med senare år.</t>
  </si>
  <si>
    <t>Anmärkning: På grund av ändrade beräkningsmetoder bland uppgiftslämnarna, är data från 2011 och framåt inte jämförbara med tidigare år.</t>
  </si>
  <si>
    <t>Anmärkning: Före 2009 ingår inte transit från Norge till Norge i statistiken för Sverige.</t>
  </si>
  <si>
    <t>Anmärkning: I malm på malmbanan redovisas godsmängd och transportarbete för LKAB Malmtrafik AB:s samtliga godstransporter på malmbanan. Från och med 2018 hanteras även malmtransporter av Kaunis Iron AB på motsvarande sätt. Andra malmtransporter redovisas på andra rader i tabellen.</t>
  </si>
  <si>
    <t>Anmärkning: På grund av gällande redovisningsprinciper kan antalet resor och transportarbete med statligt stöd variera mellan åren, då de statliga avtalen och stödet kan förändras över tid.</t>
  </si>
  <si>
    <t>kilometer</t>
  </si>
  <si>
    <t>Table 1.1. Historical overview – Railways (page 4).</t>
  </si>
  <si>
    <t>Bantrafik 2021</t>
  </si>
  <si>
    <t>Rail traffic 2021</t>
  </si>
  <si>
    <t>Tabell 4.7. Godstransporter på järnväg, fördelat på typ av transport.</t>
  </si>
  <si>
    <t>Table 4.7. Goods transport by railway, by type of transport.</t>
  </si>
  <si>
    <t>Tabell 4.8. Varugruppsfördelning av transporterat gods på järnväg enligt NST 2007 (sida 1).</t>
  </si>
  <si>
    <t>Table 4.8. Goods transported by railway according to NST 2007 freight category (page 1).</t>
  </si>
  <si>
    <t>Tabell 4.8. Varugruppsfördelning av transporterat gods på järnväg enligt NST 2007 (sida 2).</t>
  </si>
  <si>
    <t>Table 4.8. Goods transported by railway according to NST 2007 freight category (page 2).</t>
  </si>
  <si>
    <t>Tabell 4.9. Kombitransporter av gods på järnväg, fördelat på typ av lastenhet.</t>
  </si>
  <si>
    <t>Table 4.9. Intermodal freight transport by railway, by type of transport unit.</t>
  </si>
  <si>
    <t>Tabell 4.10. Varuslagsfördelning av transporterat farligt gods på järnväg enligt RID.</t>
  </si>
  <si>
    <t>Table 4.10. Dangerous goods transported by railway according to RID.</t>
  </si>
  <si>
    <t>Tabell 4.11. Persontransporter – Järnvägar.</t>
  </si>
  <si>
    <t>Table 4.11. Passenger transport – Railways.</t>
  </si>
  <si>
    <t>Tabell 4.12. Persontransporter – Spårvägar.</t>
  </si>
  <si>
    <t>Table 4.12. Passenger transport – Trams.</t>
  </si>
  <si>
    <t>Tabell 4.13. Persontransporter – Tunnelbana.</t>
  </si>
  <si>
    <t>Table 4.13. Passenger transport – Metro.</t>
  </si>
  <si>
    <r>
      <t xml:space="preserve">Publiceringsdatum: </t>
    </r>
    <r>
      <rPr>
        <sz val="8"/>
        <rFont val="Arial"/>
        <family val="2"/>
      </rPr>
      <t>2022-06-23</t>
    </r>
  </si>
  <si>
    <t>A-I-01-05-0_0-0_0</t>
  </si>
  <si>
    <t>A-I-01-05-23_1-0_0</t>
  </si>
  <si>
    <t>A-I-01-05-23_2-0_0</t>
  </si>
  <si>
    <t>A-I-02-05-0_0-0_0</t>
  </si>
  <si>
    <t>A-I-02-05-11_1-0_0</t>
  </si>
  <si>
    <t>A-I-02-05-11_2-0_0</t>
  </si>
  <si>
    <t>A-I-02-05-11_3-0_0</t>
  </si>
  <si>
    <t>A-I-02-05-12_1-0_0</t>
  </si>
  <si>
    <t>A-I-02-05-12_2-0_0</t>
  </si>
  <si>
    <t>A-I-02-05-15_1-0_0</t>
  </si>
  <si>
    <t>A-I-02-05-15_2-0_0</t>
  </si>
  <si>
    <t>A-I-02-05-15_3-0_0</t>
  </si>
  <si>
    <t>A-I-02-05-82_1-0_0</t>
  </si>
  <si>
    <t>A-I-02-05-82_2-0_0</t>
  </si>
  <si>
    <t>A-I-02-05-82_3-0_0</t>
  </si>
  <si>
    <t>A-I-02-05-23_1-0_0</t>
  </si>
  <si>
    <t>A-I-02-05-23_1-11_1</t>
  </si>
  <si>
    <t>A-I-02-05-23_1-11_2</t>
  </si>
  <si>
    <t>A-I-02-05-23_1-11_3</t>
  </si>
  <si>
    <t>A-I-02-05-23_1-12_1</t>
  </si>
  <si>
    <t>A-I-02-05-23_1-12_2</t>
  </si>
  <si>
    <t>A-I-02-05-23_1-15_1</t>
  </si>
  <si>
    <t>A-I-02-05-23_1-15_2</t>
  </si>
  <si>
    <t>A-I-02-05-23_1-15_3</t>
  </si>
  <si>
    <t>A-I-02-05-23_2-0_0</t>
  </si>
  <si>
    <t>A-I-02-05-23_2-11_1</t>
  </si>
  <si>
    <t>A-I-02-05-23_2-11_2</t>
  </si>
  <si>
    <t>A-I-02-05-23_2-11_3</t>
  </si>
  <si>
    <t>A-I-02-05-23_2-12_1</t>
  </si>
  <si>
    <t>A-I-02-05-23_2-12_2</t>
  </si>
  <si>
    <t>A-I-02-05-23_2-15_1</t>
  </si>
  <si>
    <t>A-I-02-05-23_2-15_2</t>
  </si>
  <si>
    <t>A-I-02-05-23_2-15_3</t>
  </si>
  <si>
    <t>A-I-02-05-23_2-19_1</t>
  </si>
  <si>
    <t>A-I-02-05-23_2-19_2</t>
  </si>
  <si>
    <t>A-I-02-05-23_2-19_3</t>
  </si>
  <si>
    <t>A-I-02-05-23_2-19_4</t>
  </si>
  <si>
    <t>A-I-02-05-23_2-19_5</t>
  </si>
  <si>
    <t>A-I-02-05-23_2-19_6</t>
  </si>
  <si>
    <t>A-II-01-07-0_0-0_0</t>
  </si>
  <si>
    <t>A-II-01-07-14_1-0_0</t>
  </si>
  <si>
    <t>A-II-01-07-14_2-0_0</t>
  </si>
  <si>
    <t>A-II-01-20-0_0-0_0</t>
  </si>
  <si>
    <t>A-II-01-20-14_1-0_0</t>
  </si>
  <si>
    <t>A-II-01-20-14_2-0_0</t>
  </si>
  <si>
    <t>A-II-02-07-0_0-0_0</t>
  </si>
  <si>
    <t>A-II-02-07-76_1-0_0</t>
  </si>
  <si>
    <t>A-II-02-07-76_2-0_0</t>
  </si>
  <si>
    <t>A-II-02-20-0_0-0_0</t>
  </si>
  <si>
    <t>A-II-02-20-76_1-0_0</t>
  </si>
  <si>
    <t>A-II-02-20-76_2-0_0</t>
  </si>
  <si>
    <t>A-II-03-07-0_0-0_0</t>
  </si>
  <si>
    <t>A-II-03-07-02_4-0_0</t>
  </si>
  <si>
    <t>A-II-03-07-02_5-0_0</t>
  </si>
  <si>
    <t>A-II-03-07-25_1-0_0</t>
  </si>
  <si>
    <t>A-II-03-07-25_2-0_0</t>
  </si>
  <si>
    <t>A-II-03-14-0_0-0_0</t>
  </si>
  <si>
    <t>A-II-03-14-25_1-0_0</t>
  </si>
  <si>
    <t>A-II-03-14-25_2-0_0</t>
  </si>
  <si>
    <t>A-II-03-14-01_3-0_0</t>
  </si>
  <si>
    <t>A-II-03-14-01_4-0_0</t>
  </si>
  <si>
    <t>A-II-04-07-0_0-0_0</t>
  </si>
  <si>
    <t>A-II-05-07-0_0-0_0</t>
  </si>
  <si>
    <t>A-II-05-07-26_1-0_0</t>
  </si>
  <si>
    <t>A-II-05-07-26_2-0_0</t>
  </si>
  <si>
    <t>A-II-05-07-26_3-0_0</t>
  </si>
  <si>
    <t>A-II-05-07-26_5-0_0</t>
  </si>
  <si>
    <t>A-II-05-07-26_4-0_0</t>
  </si>
  <si>
    <t>A-II-05-02-0_0-0_0</t>
  </si>
  <si>
    <t>A-II-05-02-26_1-0_0</t>
  </si>
  <si>
    <t>A-II-05-02-26_2-0_0</t>
  </si>
  <si>
    <t>A-II-05-02-26_3-0_0</t>
  </si>
  <si>
    <t>A-II-05-02-26_4-0_0</t>
  </si>
  <si>
    <t>A-II-05-02-26_5-0_0</t>
  </si>
  <si>
    <t>A-II-06-07-0_0-0_0</t>
  </si>
  <si>
    <t>A-II-06-07-83_1-0_0</t>
  </si>
  <si>
    <t>A-II-06-07-83_2-0_0</t>
  </si>
  <si>
    <t>A-II-06-07-83_3-0_0</t>
  </si>
  <si>
    <t>A-II-06-14-0_0-0_0</t>
  </si>
  <si>
    <t>A-II-06-14-83_1-0_0</t>
  </si>
  <si>
    <t>A-II-06-14-83_2-0_0</t>
  </si>
  <si>
    <t>A-II-06-14-83_3-0_0</t>
  </si>
  <si>
    <t>A-III-01-09-0_0-0_0</t>
  </si>
  <si>
    <t>A-III-01-09-87_1-0_0</t>
  </si>
  <si>
    <t>A-III-01-09-87_2-0_0</t>
  </si>
  <si>
    <t>A-III-01-09-87_3-0_0</t>
  </si>
  <si>
    <t>A-III-03-01-0_0-0_0</t>
  </si>
  <si>
    <t>A-III-03-01-10_1-0_0</t>
  </si>
  <si>
    <t>A-III-03-01-10_2-0_0</t>
  </si>
  <si>
    <t>A-III-04-01-0_0-0_0</t>
  </si>
  <si>
    <t>A-III-04-01-10_1-0_0</t>
  </si>
  <si>
    <t>A-III-04-01-10_2-0_0</t>
  </si>
  <si>
    <t>A-IV-01-21-0_0-0_0</t>
  </si>
  <si>
    <t>A-IV-01-21-22_11-0_0</t>
  </si>
  <si>
    <t>A-IV-01-21-22_12-0_0</t>
  </si>
  <si>
    <t>A-IV-01-21-22_21-0_0</t>
  </si>
  <si>
    <t>A-IV-01-21-22_22-0_0</t>
  </si>
  <si>
    <t>A-IV-01-21-29_1-0_0</t>
  </si>
  <si>
    <t>A-IV-01-21-29_1-22_11</t>
  </si>
  <si>
    <t>A-IV-01-21-29_1-22_12</t>
  </si>
  <si>
    <t>A-IV-01-21-29_1-22_21</t>
  </si>
  <si>
    <t>A-IV-01-21-29_1-22_22</t>
  </si>
  <si>
    <t>A-IV-01-21-29_1-83_1</t>
  </si>
  <si>
    <t>A-IV-01-21-29_1-83_2</t>
  </si>
  <si>
    <t>A-IV-01-21-29_1-83_3</t>
  </si>
  <si>
    <t>A-IV-01-21-29_2-0_0</t>
  </si>
  <si>
    <t>A-IV-01-21-29_2-22_11</t>
  </si>
  <si>
    <t>A-IV-01-21-29_2-22_12</t>
  </si>
  <si>
    <t>A-IV-01-21-29_2-22_21</t>
  </si>
  <si>
    <t>A-IV-01-21-29_2-22_22</t>
  </si>
  <si>
    <t>A-IV-01-21-29_3-0_0</t>
  </si>
  <si>
    <t>A-IV-03-03-0_0-0_0</t>
  </si>
  <si>
    <t>A-IV-03-03-22_11-0_0</t>
  </si>
  <si>
    <t>A-IV-03-03-22_12-0_0</t>
  </si>
  <si>
    <t>A-IV-03-03-22_21-0_0</t>
  </si>
  <si>
    <t>A-IV-03-03-22_22-0_0</t>
  </si>
  <si>
    <t>A-IV-03-04-0_0-0_0</t>
  </si>
  <si>
    <t>A-IV-03-04-21_10-0_0</t>
  </si>
  <si>
    <t>A-IV-03-04-21_20-0_0</t>
  </si>
  <si>
    <t>A-IV-03-04-21_30-0_0</t>
  </si>
  <si>
    <t>A-IV-03-04-21_31-0_0</t>
  </si>
  <si>
    <t>A-IV-03-04-21_32-0_0</t>
  </si>
  <si>
    <t>A-IV-03-03-30_1-0_0</t>
  </si>
  <si>
    <t>A-IV-03-03-30_1-22_11</t>
  </si>
  <si>
    <t>A-IV-03-03-30_1-22_12</t>
  </si>
  <si>
    <t>A-IV-03-03-30_1-22_21</t>
  </si>
  <si>
    <t>A-IV-03-03-30_1-22_22</t>
  </si>
  <si>
    <t>A-IV-03-03-30_2-0_0</t>
  </si>
  <si>
    <t>A-IV-03-03-30_2-22_11</t>
  </si>
  <si>
    <t>A-IV-03-03-30_2-22_12</t>
  </si>
  <si>
    <t>A-IV-03-03-30_2-22_21</t>
  </si>
  <si>
    <t>A-IV-03-03-30_2-22_22</t>
  </si>
  <si>
    <t>A-IV-03-03-30_3-0_0</t>
  </si>
  <si>
    <t>A-V-01-12-0_0-0_0</t>
  </si>
  <si>
    <t>A-V-01-12-24_1-0_0</t>
  </si>
  <si>
    <t>A-V-01-12-24_2-0_0</t>
  </si>
  <si>
    <t>A-V-01-12-83_1-0_0</t>
  </si>
  <si>
    <t>A-V-01-12-83_2-0_0</t>
  </si>
  <si>
    <t>A-V-01-12-83_3-0_0</t>
  </si>
  <si>
    <t>A-V-01-11-0_0-0_0</t>
  </si>
  <si>
    <t>A-V-01-11-24_1-0_0</t>
  </si>
  <si>
    <t>A-V-01-11-24_2-0_0</t>
  </si>
  <si>
    <t>A-V-01-11-83_1-0_0</t>
  </si>
  <si>
    <t>A-V-01-11-83_2-0_0</t>
  </si>
  <si>
    <t>A-V-01-11-83_3-0_0</t>
  </si>
  <si>
    <t>A-V-05-17-0_0-0_0</t>
  </si>
  <si>
    <t>A-V-05-17-17_11-0_0</t>
  </si>
  <si>
    <t>A-V-05-17-17_12-0_0</t>
  </si>
  <si>
    <t>A-V-05-17-17_20-0_0</t>
  </si>
  <si>
    <t>A-V-05-17-32_10-0_0</t>
  </si>
  <si>
    <t>A-V-05-17-32_21-0_0</t>
  </si>
  <si>
    <t>A-V-05-17-32_22-0_0</t>
  </si>
  <si>
    <t>A-V-05-17-32_31-0_0</t>
  </si>
  <si>
    <t>A-V-05-18-0_0-0_0</t>
  </si>
  <si>
    <t>A-V-05-18-17_11-0_0</t>
  </si>
  <si>
    <t>A-V-05-18-17_12-0_0</t>
  </si>
  <si>
    <t>A-V-05-18-17_20-0_0</t>
  </si>
  <si>
    <t>A-V-05-18-32_10-0_0</t>
  </si>
  <si>
    <t>A-V-05-18-32_21-0_0</t>
  </si>
  <si>
    <t>A-V-05-18-32_22-0_0</t>
  </si>
  <si>
    <t>A-V-05-18-32_31-0_0</t>
  </si>
  <si>
    <t>A-V-06-17-0_0-0_0</t>
  </si>
  <si>
    <t>A-V-06-17-08_10-0_0</t>
  </si>
  <si>
    <t>A-V-06-17-08_20-0_0</t>
  </si>
  <si>
    <t>A-V-06-17-08_31-0_0</t>
  </si>
  <si>
    <t>A-V-06-17-08_32-0_0</t>
  </si>
  <si>
    <t>A-V-06-17-08_40-0_0</t>
  </si>
  <si>
    <t>A-V-06-18-0_0-0_0</t>
  </si>
  <si>
    <t>A-V-06-18-08_10-0_0</t>
  </si>
  <si>
    <t>A-V-06-18-08_20-0_0</t>
  </si>
  <si>
    <t>A-V-06-18-08_31-0_0</t>
  </si>
  <si>
    <t>A-V-06-18-08_32-0_0</t>
  </si>
  <si>
    <t>A-V-06-18-08_40-0_0</t>
  </si>
  <si>
    <t xml:space="preserve">Tabell 4.7 redovisar transporterad godsmängd i ton och transportarbete för kommersiell godstrafik i Sverige. Som godsmängd räknas vikten av det gods som lastats på en vagn inklusive vikten av emballage och eventuella lastbärare såsom containrar, växelflak, semi-trailers och andra vägfordon. Godsmängden i ton kallas i vissa andra sammanhang för nettoton.
Transportarbete av godstrafik redovisas som tonkilometer. Tonkilometer beräknas som godsmängden som lastats på en järnvägsvagn gånger den debiterade transportsträckan i kilometer. Tonkilometer på utländska sträckor ingår inte.
Med inrikes avses transporter med start- och målpunkt i Sverige. Med utrikes avses dels transporter med antingen start- eller målpunkt utanför Sverige, dels transporter med både start- och målpunkt utanför Sverige men som under någon del går innanför Sveriges gränser (transit). Av utrikestransporter räknas bara den del av transporten som utförs i Sverige. </t>
  </si>
  <si>
    <t>I tabell 4.8 redovisas transporterad godsmängd i ton och transportarbete för kommersiell godstrafik i Sverige fördelat på varuslag och varugrupper enligt NST 2007 (Classification system for transport statistics). Se vidare www.unece.org. Fram till 2007 användes den äldre varuslagsindelningen NST/R. Bytet av standard innebär ett tidsseriebrott som medför att varugrupperna som redovisas från 2008 inte är jämförbara bakåt.</t>
  </si>
  <si>
    <t>I tabell 4.9 redovisas detaljerad information om kommersiella kombitransporter i Sverige. Med kombitransporter avses transporter av kombigods. Med kombigods avses gods som fraktas i en lastenhet som möjliggör flytt mellan lastbil, tåg och fartyg. Redovisningen av total transporterad godsmängd i ton och totalt transportarbete i tonkilometer för kombitransporter i kommersiell godstrafik är samma som rad 12 respektive 27 i tabell 4.7, med samma definitioner. Här fördelas godsmängder och transportarbete även på olika typer av lastenheter, nämligen containrar och växelflak eller semi-trailers och andra vägfordon. 
Med container menas en särskild behållare för transport av gods, förstärkt och stapelbar och som kan förflyttas horisontellt och vertikalt. 
Med växelflak menas en frakttransporterande enhet som är optimerad för dimensionerna hos vägfordon och som är utrustad med hanteringsanordningar för överflyttning från ett trafikslag till ett annat, normalt väg/järnväg.
Med semi-trailers och andra vägfordon menas påhängsvagnar avsedda att dras av en särskild trailerdragare (en lastbil med vändskiva) samt motorfordon som är avsedda för godstransport på väg (lastbilar).        
Tabell 4.9 innehåller även godsmängden och transportarbetet exklusive vikten av lastbärarna (lastenheterna) samt uppgifter om hur många lastenheter som transporterats och hur stor andel av dessa som varit lastade.</t>
  </si>
  <si>
    <t xml:space="preserve">Tabell 4.10 redovisar transporterad godsmängd i ton och transportarbete för kommersiell godstrafik i Sverige avseende farligt gods fördelat på varuslag enligt klasserna i det internationella regelverket RID (Regulations concerning the International Carriage of Dangerous Goods by Rail) se vidare www.otif.org. Med farligt gods menas ämnen och föremål som har sådana farliga egenskaper att de kan orsaka skador på människor, miljö eller egendom, om de inte hanteras rätt under en transport.
Som godsmängd räknas vikten av det gods som lastats på en vagn inklusive vikten av emballage och eventuella lastbärare såsom containrar, växelflak, semi-trailers och andra vägfordon. Godsmängden i ton kallas i vissa andra sammanhang för nettoton.
Transportarbete av godstrafik redovisas som tonkilometer. Tonkilometer beräknas som godsmängden som lastats på en järnvägsvagn gånger den debiterade transportsträckan i kilometer. Tonkilometer på utländska sträckor ingår inte.
</t>
  </si>
  <si>
    <t>Tabell 4.11 redovisar resor och transportarbete för kommersiell persontrafik i Sverige. Järnvägens persontransporter delas upp i dem som körs i järnvägsföretagens egentrafiktåg och dem som körs i regionala kollektivtrafikmyndigheters tåg.
Med järnvägsföretagens egentrafiktåg avses antingen tågoperatörernas trafik på kommersiella grunder, där inget avtal reglerar trafikutbud och ersättning, eller trafik enligt avtal med staten, där trafikutbud och ersättning för att täcka underskott regleras av avtalet.
Med regionala kollektivtrafikmyndigheters tåg avses tågoperatörernas trafik enligt avtal med en eller flera regionala kollektivtrafikmyndigheter, eventuellt även med staten, där trafikutbud och ersättning för att täcka underskott regleras av avtalet. Avtal kan också skrivas av bolag som särskilt bildats av regionala kollektivtrafikmyndigheter för detta ändamål. Trafiken kan också bedrivas av tågoperatörer som särskilt bildats av regionala kollektivtrafikmyndigheter för detta ändamål.
Om avtalsformerna för den upphandlade trafiken ändras från ett år till ett annat, kan stora mängder resor omfördelas i statistiken, mellan järnvägsföretagens egentrafiktåg och regionala kollektivtrafikmyndigheters tåg.
Med den lagstiftning som gällde före 2012 fanns för varje län en länstrafikhuvudman för kollektivtrafiken, med liknande uppgifter som dagens regionala kollektivtrafikmyndigheter. Det som benämns regionala kollektivtrafikmyndigheter i statistiken för perioden före 2012 avser länstrafikhuvudmännen. Statistiken är jämförbar trots de nya förhållandena, vilket är skälet till att uppgifterna redovisas på samma rader i tabellerna.
En resa sträcker sig mellan platsen där passageraren stiger på ett järnvägsfordon till den plats där passageraren stiger av ett järnvägsfordon för att byta färdmedel eller för att resan avslutats. Byte mellan järnvägsfordon räknas inte som en av- och påstigning; en resa kan alltså bestå av flera delresor. En delresa sträcker sig mellan platsen där passageraren stiger på ett järnvägsfordon till platsen där passageraren stiger av samma järnvägsfordon för byte till ett annat järnvägsfordon (i viss annan statistik kallas delresa för påstigande).
Transportarbete av persontrafik redovisas som personkilometer. Personkilometer beräknas som summan av alla resors längd i kilometer. Personkilometer på utländska sträckor ingår inte i statistiken.</t>
  </si>
  <si>
    <r>
      <t xml:space="preserve">Rad 1–2: </t>
    </r>
    <r>
      <rPr>
        <sz val="10"/>
        <rFont val="Arial"/>
        <family val="2"/>
      </rPr>
      <t>Anger antalet resor och transportarbete för kommersiell tunnelbanetrafik i Sverige. All tunnelbanetrafik sköts i regi av regionala kollektivtrafikmyndigheter. I övrigt samma definitioner som i tabell 4.11. 
Transportarbete av persontrafik redovisas som personkilometer. Personkilometer beräknas som summan av alla resors längd i kilometer. Personkilometer på utländska sträckor ingår inte i statistiken.</t>
    </r>
    <r>
      <rPr>
        <b/>
        <sz val="10"/>
        <rFont val="Arial"/>
        <family val="2"/>
      </rPr>
      <t xml:space="preserve">
</t>
    </r>
  </si>
  <si>
    <r>
      <rPr>
        <b/>
        <sz val="10"/>
        <rFont val="Arial"/>
        <family val="2"/>
      </rPr>
      <t xml:space="preserve">Rad 1–2: </t>
    </r>
    <r>
      <rPr>
        <sz val="10"/>
        <rFont val="Arial"/>
        <family val="2"/>
      </rPr>
      <t xml:space="preserve">Anger antalet resor och transportarbete för kommersiell spårvägstrafik i Sverige. All spårvagnstrafik sköts i regi av regionala kollektivtrafikmyndigheter. I övrigt samma definitioner som i tabell 4.11.
Transportarbete av persontrafik redovisas som personkilometer. Personkilometer beräknas som summan av alla resors längd i kilometer. Personkilometer på utländska sträckor ingår inte i statistiken.
</t>
    </r>
  </si>
  <si>
    <r>
      <rPr>
        <b/>
        <sz val="10"/>
        <rFont val="Arial"/>
        <family val="2"/>
      </rPr>
      <t>Kolumn 29</t>
    </r>
    <r>
      <rPr>
        <sz val="10"/>
        <rFont val="Arial"/>
        <family val="2"/>
      </rPr>
      <t xml:space="preserve">: Anger transportarbete i bruttotonkilometer av vagnar utförda av tåg i kommersiell person- och godstrafik. Bruttotonkilometer av en vagn beräknas som vagnens bruttovikt gånger sträckan vagnen dragits i kilometer.
För godståg beräknas bruttovikten av en vagn som den transporterade godsmängden plus vikten av vagnen på vilken godsmängden lastats. Se definitionen för tabell 4.7 för förtydligande av variabeln godsmängd.
För persontåg beräknas bruttovikten av en vagn som vikten av fordon upplåtna för resande exklusive vikten av passagerare och deras bagage. 
Bruttotonkilometer på utländsk sträcka ingår inte. Bruttovikt av dragande lok ingår inte.  </t>
    </r>
  </si>
  <si>
    <r>
      <rPr>
        <b/>
        <sz val="10"/>
        <rFont val="Arial"/>
        <family val="2"/>
      </rPr>
      <t>Kolumn 33–36:</t>
    </r>
    <r>
      <rPr>
        <sz val="10"/>
        <rFont val="Arial"/>
        <family val="2"/>
      </rPr>
      <t xml:space="preserve"> Anger transportarbete av kommersiell godstrafik totalt samt fördelat på transportformerna express- och styckegods, kombigods och vagnslastgods. Transportarbete av godstrafik redovisas som tonkilometer. Tonkilometer beräknas som godsmängden som lastats på en järnvägsvagn gånger den debiterade transportsträckan i kilometer (se definitionen för tabell 4.7 för förtydligande av variabeln godsmängd samt de olika transportformerna). Tonkilometer på utländska sträckor ingår inte.
I vagnslastgods ingår Malm på malmbanan som särredovisas i tabeller under avsnitt </t>
    </r>
    <r>
      <rPr>
        <i/>
        <sz val="10"/>
        <rFont val="Arial"/>
        <family val="2"/>
      </rPr>
      <t>4. Trafik och transporter</t>
    </r>
    <r>
      <rPr>
        <sz val="10"/>
        <rFont val="Arial"/>
        <family val="2"/>
      </rPr>
      <t>.</t>
    </r>
  </si>
  <si>
    <r>
      <rPr>
        <b/>
        <sz val="10"/>
        <rFont val="Arial"/>
        <family val="2"/>
      </rPr>
      <t xml:space="preserve">Rad 10–18: </t>
    </r>
    <r>
      <rPr>
        <sz val="10"/>
        <rFont val="Arial"/>
        <family val="2"/>
      </rPr>
      <t>Anger transportarbete i bruttotonkilometer av vagnar utförda av tåg i kommersiell tågtrafik, totalt och fördelat på typ av trafik och energislag. Bruttotonkilometer av en vagn beräknas som vagnens bruttovikt gånger sträckan vagnen dragits i kilometer.
För godståg beräknas bruttovikten av en vagn som den transporterade godsmängden plus vikten av vagnen på vilken godsmängden lastats (se definitionen för tabell 4.7 för förtydligande av variabeln godsmängd).
För persontåg beräknas bruttovikten av en vagn som vikten av fordon upplåtna för resande exklusive vikten av passagerare och deras bagage. 
Bruttotonkilometer på utländsk sträcka ingår inte. 
Bruttovikt av dragande lok ingår inte.</t>
    </r>
  </si>
  <si>
    <r>
      <t xml:space="preserve">Rad 1–21: </t>
    </r>
    <r>
      <rPr>
        <sz val="10"/>
        <rFont val="Arial"/>
        <family val="2"/>
      </rPr>
      <t>Anger hur den transporterade godsmängden på rad 14 i tabell 4.7 fördelas på olika varugrupper. Varugruppsindelningen följer huvudgrupperna i den internationella standarden för varugruppsindelning NST 2007. Som godsmängd räknas vikten av det gods som lastats på en vagn inklusive vikten av emballage och eventuella lastbärare såsom containrar, växelflak, semi-trailers och andra vägfordon.</t>
    </r>
  </si>
  <si>
    <r>
      <rPr>
        <b/>
        <sz val="10"/>
        <rFont val="Arial"/>
        <family val="2"/>
      </rPr>
      <t>Rad 22–26:</t>
    </r>
    <r>
      <rPr>
        <sz val="10"/>
        <rFont val="Arial"/>
        <family val="2"/>
      </rPr>
      <t xml:space="preserve"> Anger hur den transporterade godsmängden på rad 14 i tabell 4.7 fördelas på vissa varuslag som är speciellt intressanta för svenska förhållanden. Dessa ingår också i olika varugrupper på rad 1–20. Till skillnad från varugrupperna enligt standarden är dessa jämförbara över tid hela perioden.
Rad 22 ingår även i rad 1. Rad 23 ingår även i rad 6. Rad 24 ingår även i rad 1 och 6. Rad 25 ingår även i rad 3. Rad 26 ingår även i rad 6 och 19.
Som godsmängd räknas vikten av det gods som lastats på en vagn inklusive vikten av emballage och eventuella lastbärare såsom containrar, växelflak, semi-trailers och andra vägfordon.
</t>
    </r>
  </si>
  <si>
    <r>
      <rPr>
        <b/>
        <sz val="10"/>
        <rFont val="Arial"/>
        <family val="2"/>
      </rPr>
      <t xml:space="preserve">Rad 10: </t>
    </r>
    <r>
      <rPr>
        <sz val="10"/>
        <rFont val="Arial"/>
        <family val="2"/>
      </rPr>
      <t>Anger antalet av rad 9 som har snabbtågskapacitet.</t>
    </r>
    <r>
      <rPr>
        <b/>
        <sz val="10"/>
        <rFont val="Arial"/>
        <family val="2"/>
      </rPr>
      <t xml:space="preserve"> </t>
    </r>
    <r>
      <rPr>
        <sz val="10"/>
        <rFont val="Arial"/>
        <family val="2"/>
      </rPr>
      <t>Med snabbtågskapacitet avses att motorvagnen eller motorvagnsättet kan framföras med en största tillåtna hastighet på minst 200 kilometer/timme. Motorvagnen eller motorvagnsättet redovisas oavsett om snabbtågskapaciteten utnyttjats eller inte under redovisat år. Exempel på motorvagnssätt med snabbtågskapacitet är fordon med littera X2, X3 och X55.</t>
    </r>
  </si>
  <si>
    <r>
      <rPr>
        <b/>
        <sz val="10"/>
        <rFont val="Arial"/>
        <family val="2"/>
      </rPr>
      <t xml:space="preserve">Rad 11: </t>
    </r>
    <r>
      <rPr>
        <sz val="10"/>
        <rFont val="Arial"/>
        <family val="2"/>
      </rPr>
      <t>Anger summan av antalet fordon på rad 8 och rad 9. Har fordonen drivande axlar ingår de också i tabell 3.1.</t>
    </r>
    <r>
      <rPr>
        <b/>
        <sz val="10"/>
        <rFont val="Arial"/>
        <family val="2"/>
      </rPr>
      <t xml:space="preserve">
</t>
    </r>
  </si>
  <si>
    <r>
      <rPr>
        <b/>
        <sz val="10"/>
        <rFont val="Arial"/>
        <family val="2"/>
      </rPr>
      <t xml:space="preserve">Rad 12: </t>
    </r>
    <r>
      <rPr>
        <sz val="10"/>
        <rFont val="Arial"/>
        <family val="2"/>
      </rPr>
      <t>Anger antalet sittplatser i fordon på rad 1.</t>
    </r>
  </si>
  <si>
    <r>
      <rPr>
        <b/>
        <sz val="10"/>
        <rFont val="Arial"/>
        <family val="2"/>
      </rPr>
      <t xml:space="preserve">Rad 13–14: </t>
    </r>
    <r>
      <rPr>
        <sz val="10"/>
        <rFont val="Arial"/>
        <family val="2"/>
      </rPr>
      <t>Anger antalet sittplatser i fordon på rad 9 samt rad 10, för betydelsen av snabbtågskapacitet se rad 10.</t>
    </r>
  </si>
  <si>
    <r>
      <rPr>
        <b/>
        <sz val="10"/>
        <rFont val="Arial"/>
        <family val="2"/>
      </rPr>
      <t xml:space="preserve">Rad 15: </t>
    </r>
    <r>
      <rPr>
        <sz val="10"/>
        <rFont val="Arial"/>
        <family val="2"/>
      </rPr>
      <t>Anger summan av antalet sittplatser i fordon på rad 12 och rad 13.</t>
    </r>
  </si>
  <si>
    <r>
      <rPr>
        <b/>
        <sz val="10"/>
        <rFont val="Arial"/>
        <family val="2"/>
      </rPr>
      <t xml:space="preserve">Rad 16–18: </t>
    </r>
    <r>
      <rPr>
        <sz val="10"/>
        <rFont val="Arial"/>
        <family val="2"/>
      </rPr>
      <t>Anger antalet sovplatser, totalt och fördelat på sovvagnar (rad 2) och liggvagnar (rad 3).</t>
    </r>
  </si>
  <si>
    <r>
      <rPr>
        <b/>
        <sz val="10"/>
        <rFont val="Arial"/>
        <family val="2"/>
      </rPr>
      <t xml:space="preserve">Rad 19: </t>
    </r>
    <r>
      <rPr>
        <sz val="10"/>
        <rFont val="Arial"/>
        <family val="2"/>
      </rPr>
      <t>Anger det totala antalet sitt- och sovplatser i fordon på rad 15 och rad 18.</t>
    </r>
  </si>
  <si>
    <t>Investeringar</t>
  </si>
  <si>
    <t>Tabell 2.1. Infrastruktur och investeringar – Järnvägar.</t>
  </si>
  <si>
    <t>Table 2.1. Infrastructure and investments – Railways.</t>
  </si>
  <si>
    <t>Tabell 2.3. Infrastruktur och investeringar – Spårvägar.</t>
  </si>
  <si>
    <t>Table 2.3. Infrastructure and investments – Trams.</t>
  </si>
  <si>
    <t>Tabell 2.5. Infrastruktur och investeringar – Tunnelbanan.</t>
  </si>
  <si>
    <t>Table 2.5. Infrastructure and investments – Metro.</t>
  </si>
  <si>
    <r>
      <t xml:space="preserve">Tabeller i avsnitt </t>
    </r>
    <r>
      <rPr>
        <i/>
        <sz val="10"/>
        <rFont val="Arial"/>
        <family val="2"/>
      </rPr>
      <t>2. Infrastruktur</t>
    </r>
    <r>
      <rPr>
        <sz val="10"/>
        <rFont val="Arial"/>
        <family val="2"/>
      </rPr>
      <t xml:space="preserve"> innehåller uppgifter om infrastrukturen för järnväg, spårväg och tunnelbana. Tabellerna innehåller information om banlängder, personal och kostnader för infrastrukturen. Om inte annat anges redovisar uppgiften situationen vid årets slut.
Bandelar redovisas som järnvägsbanor, spårvägsbanor eller tunnelbanor utifrån den trafik som utförs på dem och inte efter den tekniska utformningen. Detta medför att Lidingöbanan redovisas som spårvägsbana i statistiken trots att banan har järnvägsstandard. Spårdelar ingår om de tillfälligt tagits ur bruk på grund av banarbeten och dylikt.
Spårdelar som inte trafikerats exkluderas om trafiken lagts ned permanent. Så även vid omfattande nykonstruktions- och ombyggnadsarbeten (aktuella fall kommenteras i tabellerna).</t>
    </r>
  </si>
  <si>
    <r>
      <t xml:space="preserve">Statistiken om järnvägsföretag, spårvägsföretag och tunnelbaneföretag samt deras verksamheter omfattar endast den kommersiella delen för vilken företagen uppbär intäkter (benämns </t>
    </r>
    <r>
      <rPr>
        <b/>
        <sz val="10"/>
        <rFont val="Arial"/>
        <family val="2"/>
      </rPr>
      <t>kommersiell trafik</t>
    </r>
    <r>
      <rPr>
        <sz val="10"/>
        <rFont val="Arial"/>
        <family val="2"/>
      </rPr>
      <t xml:space="preserve"> här). Verksamhet som inte genererar intäkter såsom tjänstetransporter, vilka utförs för att uppfylla företagens interna behov av transporter inom verksamheten, ingår inte. Likaså ingår inte verksamheter som genererats av annat skäl än att uppfylla samhällets behov av transporter såsom museiverksamhet. Transporter för underhåll eller nybyggnation av infrastruktur, exempelvis arbetsfordon, ingår heller inte i statistiken. Rörelser på sidospår (privata), bangårdar, lastplatser etcetera ingår inte i trafikuppgifterna.</t>
    </r>
  </si>
  <si>
    <r>
      <t xml:space="preserve">Tabeller i avsnitt </t>
    </r>
    <r>
      <rPr>
        <i/>
        <sz val="10"/>
        <rFont val="Arial"/>
        <family val="2"/>
      </rPr>
      <t>4. Trafik och transporter</t>
    </r>
    <r>
      <rPr>
        <sz val="10"/>
        <rFont val="Arial"/>
        <family val="2"/>
      </rPr>
      <t xml:space="preserve"> innehåller uppgifter om trafik och transporter, men även anställda för trafik. Persontransporter redovisas för järnvägs-, spårvägs- och tunnelbanetrafik. Godstransporter redovisas för järnväg med olika uppdelningar på bland annat varugrupper och farligt gods. Om inte annat anges redovisas summan av all trafik eller transporter under året. 
Trafik- och transportavsnittet avser kommersiell trafik på svenska banor. Rörelser på sidospår (privata), bangårdar, lastplatser etcetera ingår inte i trafikuppgifterna. Med kommersiell trafik avses den kommersiella delen för vilken företaget uppbär intäkter. Verksamhet som inte genererar intäkter såsom tjänstetransporter, vilka utförs för att uppfylla företagens interna behov av transporter inom verksamheten, ingår inte. Likaså ingår inte verksamheter som genererats av annat skäl än att uppfylla samhällets behov av transporter såsom museiverksamhet. Transporter för underhåll eller nybyggnation av infrastruktur, exempelvis arbetsfordon, ingår heller inte i statistiken.</t>
    </r>
  </si>
  <si>
    <t>Kort om statistiken/The Statistics in Brief</t>
  </si>
  <si>
    <r>
      <t>20. Andra varor, ej tidigare specificerade</t>
    </r>
    <r>
      <rPr>
        <i/>
        <sz val="8"/>
        <rFont val="Arial"/>
        <family val="2"/>
      </rPr>
      <t xml:space="preserve"> </t>
    </r>
    <r>
      <rPr>
        <sz val="8"/>
        <rFont val="Arial"/>
        <family val="2"/>
      </rPr>
      <t>/</t>
    </r>
    <r>
      <rPr>
        <i/>
        <sz val="8"/>
        <rFont val="Arial"/>
        <family val="2"/>
      </rPr>
      <t xml:space="preserve"> Other goods not elsewhere classified</t>
    </r>
  </si>
  <si>
    <t>16. Utrustning för transport och gods /</t>
  </si>
  <si>
    <r>
      <t xml:space="preserve">14. Avfall och returråvara / </t>
    </r>
    <r>
      <rPr>
        <i/>
        <sz val="8"/>
        <rFont val="Arial"/>
        <family val="2"/>
      </rPr>
      <t>Secondary materials and recycling</t>
    </r>
  </si>
  <si>
    <r>
      <t xml:space="preserve">11. Maskiner och instrument / </t>
    </r>
    <r>
      <rPr>
        <i/>
        <sz val="8"/>
        <rFont val="Arial"/>
        <family val="2"/>
      </rPr>
      <t>Machinery and equipment</t>
    </r>
  </si>
  <si>
    <t>06. Trä samt varor av trä och kork (exkl. möbler), massa, papper och pappersvaror,</t>
  </si>
  <si>
    <r>
      <rPr>
        <sz val="8"/>
        <rFont val="Arial"/>
        <family val="2"/>
      </rPr>
      <t>trycksaker</t>
    </r>
    <r>
      <rPr>
        <i/>
        <sz val="8"/>
        <rFont val="Arial"/>
        <family val="2"/>
      </rPr>
      <t xml:space="preserve"> / Wood and products of wood and cork, pulp, paper, and paper products</t>
    </r>
  </si>
  <si>
    <t>1. Explosiva ämnen och föremål</t>
  </si>
  <si>
    <t>4.3. Ämnen som utvecklar brandfarlig gas vid vattenkontakt</t>
  </si>
  <si>
    <t>6.2. Smittförande ämnen</t>
  </si>
  <si>
    <t>9. Övriga farliga ämnen och föremål</t>
  </si>
  <si>
    <t>Figur 6.3. Persontransportarbete i nordisk jämförelse 2004–2021.</t>
  </si>
  <si>
    <t>Figur 6.2. Antal passagerare i nordisk jämförelse 2004–2021.</t>
  </si>
  <si>
    <t>Figur 6.1. Godstransportarbete i nordisk jämförelse 2003–2021.</t>
  </si>
  <si>
    <t>Figur 5.3. Persontransportarbete med tunnelbana 1990–2021.</t>
  </si>
  <si>
    <t>Figur 5.2. Persontransportarbete med spårväg 1990–2021.</t>
  </si>
  <si>
    <t>Figur 5.1. Persontransportarbete med järnväg, fördelat på regionala och långväga resor, 1990–2021.</t>
  </si>
  <si>
    <t>Figur 4.5. Transportarbete för kombitransporter med järnväg, fördelat på inrikes och utrikes 1997–2021.</t>
  </si>
  <si>
    <t>Figur 4.4. Godstransportarbete med järnväg, fördelat på inrikes och utrikes 1997–2021.</t>
  </si>
  <si>
    <t>Figur 4.3. Godstransportarbete med järnväg, fördelat på transporttyp 1997–2021.</t>
  </si>
  <si>
    <t>Figur 4.2. Transportarbete för farligt gods i tonkilometer och transporterad mängd farligt gods i ton på järnväg 2000–2021.</t>
  </si>
  <si>
    <t>Figur 4.1. Transportarbete i tonkilometer och transporterad godsmängd i ton på järnväg 1990–2021.</t>
  </si>
  <si>
    <t>Figur 3.4. Tunnelbanans persontrafikutbud 1997–2021.</t>
  </si>
  <si>
    <t>Figur 3.3. Spårvägens persontrafikutbud 2000–2021.</t>
  </si>
  <si>
    <t>Figur 3.2. Järnvägens persontrafikutbud 1990–2021.</t>
  </si>
  <si>
    <t>Figur 3.1. Järnvägens trafik 1990–2021.</t>
  </si>
  <si>
    <t>Figur 2.2. Antal transportfordon i persontrafik på järnväg 1990–2021.</t>
  </si>
  <si>
    <t>Figur 2.1. Antal dragfordon i person- och godstrafik på järnväg 1990–2021.</t>
  </si>
  <si>
    <t>Figur 1.1. Trafikerad banlängd för järnvägar fördelad på antal spår 1990–2021.</t>
  </si>
  <si>
    <t>Statistik 2022:24</t>
  </si>
  <si>
    <t>Huvudmän i svensk bantrafik 2021.</t>
  </si>
  <si>
    <t>Bodies in Swedish rail traffic 2021.</t>
  </si>
  <si>
    <t>Tågoperatörer i svensk bantrafik 2021.</t>
  </si>
  <si>
    <t>Rail undertakings in Swedish rail traffic 2021.</t>
  </si>
  <si>
    <t>Abboud Ado</t>
  </si>
  <si>
    <t>tel: 010-414 42 48, e-post: abboud.ado@trafa.se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</si>
</sst>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 #,##0.00\ _k_r_-;_-* &quot;-&quot;??\ _k_r_-;_-@_-"/>
    <numFmt numFmtId="165" formatCode="0.0"/>
    <numFmt numFmtId="166" formatCode="#,##0.000"/>
    <numFmt numFmtId="167" formatCode="#,##0.0000"/>
    <numFmt numFmtId="168" formatCode="_-* #,##0\ _k_r_-;\-* #,##0\ _k_r_-;_-* &quot;-&quot;??\ _k_r_-;_-@_-"/>
    <numFmt numFmtId="169" formatCode="#,##0;[Red]#,##0"/>
    <numFmt numFmtId="170" formatCode="#,##0.0"/>
    <numFmt numFmtId="171" formatCode="0.0000"/>
    <numFmt numFmtId="172" formatCode="#,##0.00000"/>
  </numFmts>
  <fonts count="85">
    <font>
      <sz val="11"/>
      <color theme="1"/>
      <name val="Calibri"/>
      <family val="2"/>
      <scheme val="minor"/>
    </font>
    <font>
      <b/>
      <sz val="10"/>
      <name val="Arial"/>
      <family val="2"/>
    </font>
    <font>
      <u/>
      <sz val="10"/>
      <color indexed="12"/>
      <name val="Arial"/>
      <family val="2"/>
    </font>
    <font>
      <sz val="10"/>
      <name val="Arial"/>
      <family val="2"/>
    </font>
    <font>
      <i/>
      <sz val="8"/>
      <name val="Arial"/>
      <family val="2"/>
    </font>
    <font>
      <sz val="9"/>
      <name val="Arial"/>
      <family val="2"/>
    </font>
    <font>
      <b/>
      <sz val="9"/>
      <name val="Arial"/>
      <family val="2"/>
    </font>
    <font>
      <i/>
      <sz val="10"/>
      <name val="Arial"/>
      <family val="2"/>
    </font>
    <font>
      <vertAlign val="superscript"/>
      <sz val="10"/>
      <name val="Arial"/>
      <family val="2"/>
    </font>
    <font>
      <sz val="10"/>
      <color indexed="12"/>
      <name val="Arial"/>
      <family val="2"/>
    </font>
    <font>
      <b/>
      <i/>
      <sz val="10"/>
      <name val="Arial"/>
      <family val="2"/>
    </font>
    <font>
      <sz val="11"/>
      <color theme="1"/>
      <name val="Arial"/>
      <family val="2"/>
    </font>
    <font>
      <b/>
      <i/>
      <sz val="8"/>
      <name val="Arial"/>
      <family val="2"/>
    </font>
    <font>
      <b/>
      <sz val="8"/>
      <name val="Arial"/>
      <family val="2"/>
    </font>
    <font>
      <b/>
      <sz val="11"/>
      <color theme="1"/>
      <name val="Arial"/>
      <family val="2"/>
    </font>
    <font>
      <sz val="8"/>
      <name val="Arial"/>
      <family val="2"/>
    </font>
    <font>
      <vertAlign val="superscript"/>
      <sz val="8"/>
      <name val="Arial"/>
      <family val="2"/>
    </font>
    <font>
      <b/>
      <vertAlign val="superscript"/>
      <sz val="8"/>
      <name val="Arial"/>
      <family val="2"/>
    </font>
    <font>
      <u/>
      <sz val="8"/>
      <name val="Arial"/>
      <family val="2"/>
    </font>
    <font>
      <sz val="8"/>
      <color indexed="8"/>
      <name val="Arial"/>
      <family val="2"/>
    </font>
    <font>
      <sz val="8"/>
      <color rgb="FF000000"/>
      <name val="Arial"/>
      <family val="2"/>
    </font>
    <font>
      <i/>
      <sz val="8"/>
      <color indexed="8"/>
      <name val="Arial"/>
      <family val="2"/>
    </font>
    <font>
      <i/>
      <sz val="8"/>
      <color rgb="FF000000"/>
      <name val="Arial"/>
      <family val="2"/>
    </font>
    <font>
      <sz val="11"/>
      <color rgb="FF000000"/>
      <name val="Arial"/>
      <family val="2"/>
    </font>
    <font>
      <b/>
      <i/>
      <sz val="11"/>
      <color theme="1"/>
      <name val="Arial"/>
      <family val="2"/>
    </font>
    <font>
      <i/>
      <vertAlign val="superscript"/>
      <sz val="8"/>
      <name val="Arial"/>
      <family val="2"/>
    </font>
    <font>
      <vertAlign val="superscript"/>
      <sz val="8"/>
      <name val="Times New Roman"/>
      <family val="1"/>
    </font>
    <font>
      <i/>
      <sz val="8"/>
      <name val="Times New Roman"/>
      <family val="1"/>
    </font>
    <font>
      <i/>
      <sz val="11"/>
      <color theme="1"/>
      <name val="Arial"/>
      <family val="2"/>
    </font>
    <font>
      <sz val="9"/>
      <color indexed="81"/>
      <name val="Tahoma"/>
      <family val="2"/>
    </font>
    <font>
      <i/>
      <sz val="9"/>
      <color indexed="81"/>
      <name val="Tahoma"/>
      <family val="2"/>
    </font>
    <font>
      <i/>
      <vertAlign val="superscript"/>
      <sz val="10"/>
      <name val="Arial"/>
      <family val="2"/>
    </font>
    <font>
      <sz val="8"/>
      <color theme="1"/>
      <name val="Arial"/>
      <family val="2"/>
    </font>
    <font>
      <sz val="8"/>
      <color rgb="FFFF0000"/>
      <name val="Arial"/>
      <family val="2"/>
    </font>
    <font>
      <b/>
      <sz val="8"/>
      <color rgb="FFFF0000"/>
      <name val="Arial"/>
      <family val="2"/>
    </font>
    <font>
      <sz val="11"/>
      <color theme="1"/>
      <name val="Calibri"/>
      <family val="2"/>
    </font>
    <font>
      <sz val="8"/>
      <name val="Arial"/>
      <family val="2"/>
    </font>
    <font>
      <b/>
      <sz val="16"/>
      <color indexed="9"/>
      <name val="Tahoma"/>
      <family val="2"/>
    </font>
    <font>
      <b/>
      <sz val="20"/>
      <name val="Arial"/>
      <family val="2"/>
    </font>
    <font>
      <b/>
      <i/>
      <sz val="16"/>
      <name val="Arial"/>
      <family val="2"/>
    </font>
    <font>
      <b/>
      <i/>
      <sz val="14"/>
      <name val="Arial"/>
      <family val="2"/>
    </font>
    <font>
      <u/>
      <sz val="8"/>
      <color indexed="12"/>
      <name val="Arial"/>
      <family val="2"/>
    </font>
    <font>
      <sz val="8"/>
      <name val="Tahoma"/>
      <family val="2"/>
    </font>
    <font>
      <sz val="11"/>
      <color rgb="FFFF0000"/>
      <name val="Arial"/>
      <family val="2"/>
    </font>
    <font>
      <i/>
      <sz val="8"/>
      <color rgb="FFFF0000"/>
      <name val="Arial"/>
      <family val="2"/>
    </font>
    <font>
      <sz val="11"/>
      <name val="Arial"/>
      <family val="2"/>
    </font>
    <font>
      <sz val="11"/>
      <color theme="1"/>
      <name val="Calibri"/>
      <family val="2"/>
      <scheme val="minor"/>
    </font>
    <font>
      <vertAlign val="superscript"/>
      <sz val="8"/>
      <color theme="0"/>
      <name val="Arial"/>
      <family val="2"/>
    </font>
    <font>
      <b/>
      <sz val="7.5"/>
      <name val="Arial"/>
      <family val="2"/>
    </font>
    <font>
      <i/>
      <sz val="7.5"/>
      <name val="Arial"/>
      <family val="2"/>
    </font>
    <font>
      <sz val="7.5"/>
      <name val="Arial"/>
      <family val="2"/>
    </font>
    <font>
      <sz val="8"/>
      <color theme="3"/>
      <name val="Arial"/>
      <family val="2"/>
    </font>
    <font>
      <sz val="11"/>
      <color theme="3"/>
      <name val="Calibri"/>
      <family val="2"/>
      <scheme val="minor"/>
    </font>
    <font>
      <sz val="11"/>
      <name val="Calibri"/>
      <family val="2"/>
      <scheme val="minor"/>
    </font>
    <font>
      <sz val="8"/>
      <color theme="1"/>
      <name val="Calibri"/>
      <family val="2"/>
      <scheme val="minor"/>
    </font>
    <font>
      <b/>
      <sz val="14"/>
      <name val="Arial"/>
      <family val="2"/>
    </font>
    <font>
      <sz val="14"/>
      <name val="Arial"/>
      <family val="2"/>
    </font>
    <font>
      <sz val="8"/>
      <color theme="4" tint="-0.249977111117893"/>
      <name val="Arial"/>
      <family val="2"/>
    </font>
    <font>
      <sz val="9.5"/>
      <color theme="1"/>
      <name val="Arial"/>
      <family val="2"/>
    </font>
    <font>
      <sz val="8"/>
      <name val="Arial"/>
      <family val="2"/>
    </font>
    <font>
      <b/>
      <sz val="12"/>
      <name val="Arial"/>
      <family val="2"/>
    </font>
    <font>
      <sz val="10"/>
      <color theme="5" tint="-0.249977111117893"/>
      <name val="Arial"/>
      <family val="2"/>
    </font>
    <font>
      <sz val="12"/>
      <name val="Arial"/>
      <family val="2"/>
    </font>
    <font>
      <b/>
      <sz val="9"/>
      <color indexed="81"/>
      <name val="Tahoma"/>
      <family val="2"/>
    </font>
    <font>
      <sz val="10"/>
      <color theme="1"/>
      <name val="Arial"/>
      <family val="2"/>
    </font>
    <font>
      <sz val="9"/>
      <color theme="1"/>
      <name val="Arial"/>
      <family val="2"/>
    </font>
    <font>
      <b/>
      <sz val="16"/>
      <color theme="0"/>
      <name val="Tahoma"/>
      <family val="2"/>
    </font>
    <font>
      <sz val="8"/>
      <color theme="0"/>
      <name val="Arial"/>
      <family val="2"/>
    </font>
    <font>
      <sz val="10"/>
      <name val="Calibri"/>
      <family val="2"/>
    </font>
    <font>
      <u/>
      <sz val="10"/>
      <name val="Arial"/>
      <family val="2"/>
    </font>
    <font>
      <i/>
      <sz val="8"/>
      <color theme="1"/>
      <name val="Calibri"/>
      <family val="2"/>
      <scheme val="minor"/>
    </font>
    <font>
      <i/>
      <sz val="11"/>
      <color theme="1"/>
      <name val="Calibri"/>
      <family val="2"/>
      <scheme val="minor"/>
    </font>
    <font>
      <sz val="10"/>
      <color rgb="FF808080"/>
      <name val="DB Office"/>
    </font>
    <font>
      <b/>
      <sz val="11"/>
      <color theme="1"/>
      <name val="Calibri"/>
      <family val="2"/>
      <scheme val="minor"/>
    </font>
    <font>
      <b/>
      <sz val="8"/>
      <color theme="1"/>
      <name val="Calibri"/>
      <family val="2"/>
      <scheme val="minor"/>
    </font>
    <font>
      <sz val="6"/>
      <color theme="1"/>
      <name val="Calibri"/>
      <family val="2"/>
      <scheme val="minor"/>
    </font>
    <font>
      <sz val="8"/>
      <name val="Verdana"/>
      <family val="2"/>
    </font>
    <font>
      <b/>
      <sz val="11"/>
      <name val="Arial"/>
      <family val="2"/>
    </font>
    <font>
      <sz val="10"/>
      <name val="Tahoma"/>
      <family val="2"/>
    </font>
    <font>
      <b/>
      <sz val="9"/>
      <color indexed="10"/>
      <name val="Tahoma"/>
      <family val="2"/>
    </font>
    <font>
      <b/>
      <sz val="9.5"/>
      <name val="Arial"/>
      <family val="2"/>
    </font>
    <font>
      <sz val="10"/>
      <color rgb="FFFF0000"/>
      <name val="Arial"/>
      <family val="2"/>
    </font>
    <font>
      <i/>
      <sz val="8"/>
      <color theme="1"/>
      <name val="Arial"/>
      <family val="2"/>
    </font>
    <font>
      <b/>
      <sz val="8"/>
      <color theme="1"/>
      <name val="Arial"/>
      <family val="2"/>
    </font>
    <font>
      <i/>
      <sz val="9.5"/>
      <color theme="1"/>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52AF32"/>
        <bgColor indexed="64"/>
      </patternFill>
    </fill>
    <fill>
      <patternFill patternType="solid">
        <fgColor indexed="9"/>
        <bgColor indexed="64"/>
      </patternFill>
    </fill>
  </fills>
  <borders count="11">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top/>
      <bottom style="thin">
        <color theme="0" tint="-0.34998626667073579"/>
      </bottom>
      <diagonal/>
    </border>
    <border>
      <left/>
      <right/>
      <top style="thin">
        <color theme="0" tint="-0.34998626667073579"/>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0" fontId="2" fillId="0" borderId="0" applyNumberFormat="0" applyFill="0" applyBorder="0" applyAlignment="0" applyProtection="0">
      <alignment vertical="top"/>
      <protection locked="0"/>
    </xf>
    <xf numFmtId="0" fontId="36" fillId="0" borderId="0"/>
    <xf numFmtId="0" fontId="41" fillId="0" borderId="0" applyNumberFormat="0" applyFill="0" applyBorder="0" applyAlignment="0" applyProtection="0">
      <alignment vertical="top"/>
      <protection locked="0"/>
    </xf>
    <xf numFmtId="9" fontId="15" fillId="0" borderId="0" applyFont="0" applyFill="0" applyBorder="0" applyAlignment="0" applyProtection="0"/>
    <xf numFmtId="164" fontId="46" fillId="0" borderId="0" applyFont="0" applyFill="0" applyBorder="0" applyAlignment="0" applyProtection="0"/>
    <xf numFmtId="0" fontId="15" fillId="0" borderId="0"/>
    <xf numFmtId="0" fontId="1" fillId="0" borderId="0"/>
    <xf numFmtId="0" fontId="15" fillId="0" borderId="0"/>
    <xf numFmtId="0" fontId="59" fillId="0" borderId="0"/>
    <xf numFmtId="0" fontId="15" fillId="0" borderId="0"/>
    <xf numFmtId="0" fontId="15" fillId="0" borderId="0"/>
    <xf numFmtId="0" fontId="3" fillId="0" borderId="0"/>
    <xf numFmtId="0" fontId="76" fillId="0" borderId="0"/>
    <xf numFmtId="0" fontId="3" fillId="0" borderId="0"/>
    <xf numFmtId="0" fontId="3" fillId="0" borderId="0"/>
    <xf numFmtId="0" fontId="2" fillId="0" borderId="0" applyNumberFormat="0" applyFill="0" applyBorder="0" applyAlignment="0" applyProtection="0">
      <alignment vertical="top"/>
      <protection locked="0"/>
    </xf>
  </cellStyleXfs>
  <cellXfs count="555">
    <xf numFmtId="0" fontId="0" fillId="0" borderId="0" xfId="0"/>
    <xf numFmtId="0" fontId="9" fillId="2" borderId="0" xfId="0" applyFont="1" applyFill="1" applyAlignment="1">
      <alignment vertical="center"/>
    </xf>
    <xf numFmtId="0" fontId="3" fillId="2" borderId="0" xfId="0" applyFont="1" applyFill="1" applyAlignment="1">
      <alignment vertical="center"/>
    </xf>
    <xf numFmtId="3" fontId="3" fillId="2" borderId="0" xfId="0" applyNumberFormat="1" applyFont="1" applyFill="1" applyAlignment="1">
      <alignment vertical="center"/>
    </xf>
    <xf numFmtId="0" fontId="3" fillId="2" borderId="3" xfId="0" applyFont="1" applyFill="1" applyBorder="1" applyAlignment="1">
      <alignment vertical="center"/>
    </xf>
    <xf numFmtId="0" fontId="8" fillId="2" borderId="0" xfId="0" applyFont="1" applyFill="1" applyAlignment="1">
      <alignment vertical="center"/>
    </xf>
    <xf numFmtId="0" fontId="7" fillId="2" borderId="0" xfId="0" applyFont="1" applyFill="1" applyAlignment="1">
      <alignment horizontal="left" vertical="center"/>
    </xf>
    <xf numFmtId="0" fontId="3" fillId="2" borderId="3" xfId="0" applyFont="1" applyFill="1" applyBorder="1" applyAlignment="1">
      <alignment horizontal="center" vertical="center"/>
    </xf>
    <xf numFmtId="0" fontId="4" fillId="2" borderId="3" xfId="0" applyFont="1" applyFill="1" applyBorder="1" applyAlignment="1">
      <alignment horizontal="center" textRotation="90"/>
    </xf>
    <xf numFmtId="0" fontId="4" fillId="2" borderId="0" xfId="0" applyFont="1" applyFill="1" applyAlignment="1">
      <alignment horizontal="center" textRotation="90"/>
    </xf>
    <xf numFmtId="0" fontId="1" fillId="2" borderId="0" xfId="0" applyFont="1" applyFill="1" applyAlignment="1">
      <alignment vertical="center"/>
    </xf>
    <xf numFmtId="0" fontId="11" fillId="2" borderId="0" xfId="0" applyFont="1" applyFill="1" applyAlignment="1">
      <alignment vertical="center"/>
    </xf>
    <xf numFmtId="0" fontId="10" fillId="2" borderId="0" xfId="0" applyFont="1" applyFill="1" applyAlignment="1">
      <alignment vertical="center"/>
    </xf>
    <xf numFmtId="0" fontId="11" fillId="2" borderId="3" xfId="0" applyFont="1" applyFill="1" applyBorder="1" applyAlignment="1">
      <alignment vertical="center"/>
    </xf>
    <xf numFmtId="0" fontId="15" fillId="2" borderId="3" xfId="0" applyFont="1" applyFill="1" applyBorder="1" applyAlignment="1">
      <alignment horizontal="right" vertical="center"/>
    </xf>
    <xf numFmtId="0" fontId="11" fillId="2" borderId="3" xfId="0" applyFont="1" applyFill="1" applyBorder="1" applyAlignment="1">
      <alignment horizontal="right" vertical="center"/>
    </xf>
    <xf numFmtId="0" fontId="15" fillId="2" borderId="0" xfId="0" applyFont="1" applyFill="1" applyAlignment="1">
      <alignment vertical="center"/>
    </xf>
    <xf numFmtId="0" fontId="15" fillId="2" borderId="0" xfId="0" applyFont="1" applyFill="1" applyAlignment="1">
      <alignment horizontal="right" vertical="center"/>
    </xf>
    <xf numFmtId="0" fontId="13" fillId="2" borderId="0" xfId="0" applyFont="1" applyFill="1" applyAlignment="1">
      <alignment vertical="center"/>
    </xf>
    <xf numFmtId="1" fontId="13" fillId="2" borderId="0" xfId="0" applyNumberFormat="1" applyFont="1" applyFill="1" applyAlignment="1">
      <alignment vertical="center"/>
    </xf>
    <xf numFmtId="1" fontId="13" fillId="2" borderId="0" xfId="0" applyNumberFormat="1" applyFont="1" applyFill="1" applyAlignment="1">
      <alignment horizontal="left" vertical="center"/>
    </xf>
    <xf numFmtId="1" fontId="15" fillId="2" borderId="0" xfId="0" applyNumberFormat="1" applyFont="1" applyFill="1" applyAlignment="1">
      <alignment horizontal="left" vertical="center"/>
    </xf>
    <xf numFmtId="1" fontId="13" fillId="2" borderId="0" xfId="0" applyNumberFormat="1" applyFont="1" applyFill="1" applyAlignment="1">
      <alignment horizontal="right" vertical="center"/>
    </xf>
    <xf numFmtId="3" fontId="16" fillId="2" borderId="0" xfId="0" applyNumberFormat="1" applyFont="1" applyFill="1" applyAlignment="1">
      <alignment horizontal="left" vertical="center"/>
    </xf>
    <xf numFmtId="0" fontId="15" fillId="2" borderId="0" xfId="0" quotePrefix="1" applyFont="1" applyFill="1" applyAlignment="1">
      <alignment vertical="center"/>
    </xf>
    <xf numFmtId="1" fontId="15" fillId="2" borderId="0" xfId="0" applyNumberFormat="1" applyFont="1" applyFill="1" applyAlignment="1">
      <alignment vertical="center"/>
    </xf>
    <xf numFmtId="1" fontId="15" fillId="2" borderId="0" xfId="0" applyNumberFormat="1" applyFont="1" applyFill="1" applyAlignment="1">
      <alignment horizontal="right" vertical="center"/>
    </xf>
    <xf numFmtId="0" fontId="15" fillId="2" borderId="0" xfId="0" applyFont="1" applyFill="1" applyAlignment="1">
      <alignment horizontal="left" vertical="center"/>
    </xf>
    <xf numFmtId="3" fontId="15" fillId="2" borderId="0" xfId="0" applyNumberFormat="1" applyFont="1" applyFill="1" applyAlignment="1">
      <alignment vertical="center"/>
    </xf>
    <xf numFmtId="1" fontId="13" fillId="2" borderId="0" xfId="0" applyNumberFormat="1" applyFont="1" applyFill="1" applyAlignment="1">
      <alignment horizontal="center" vertical="center"/>
    </xf>
    <xf numFmtId="1" fontId="15" fillId="2" borderId="0" xfId="0" applyNumberFormat="1" applyFont="1" applyFill="1" applyAlignment="1">
      <alignment horizontal="center" vertical="center"/>
    </xf>
    <xf numFmtId="1" fontId="17" fillId="2" borderId="0" xfId="0" applyNumberFormat="1" applyFont="1" applyFill="1" applyAlignment="1">
      <alignment horizontal="left" vertical="center"/>
    </xf>
    <xf numFmtId="1" fontId="16" fillId="2" borderId="0" xfId="0" applyNumberFormat="1" applyFont="1" applyFill="1" applyAlignment="1">
      <alignment horizontal="left" vertical="center"/>
    </xf>
    <xf numFmtId="1" fontId="11" fillId="2" borderId="0" xfId="0" applyNumberFormat="1" applyFont="1" applyFill="1" applyAlignment="1">
      <alignment vertical="center"/>
    </xf>
    <xf numFmtId="0" fontId="15" fillId="2" borderId="5" xfId="0" applyFont="1" applyFill="1" applyBorder="1" applyAlignment="1">
      <alignment horizontal="center" vertical="center"/>
    </xf>
    <xf numFmtId="0" fontId="15" fillId="2" borderId="5" xfId="0" quotePrefix="1" applyFont="1" applyFill="1" applyBorder="1" applyAlignment="1">
      <alignment vertical="center"/>
    </xf>
    <xf numFmtId="1" fontId="15" fillId="2" borderId="5" xfId="0" applyNumberFormat="1" applyFont="1" applyFill="1" applyBorder="1" applyAlignment="1">
      <alignment vertical="center"/>
    </xf>
    <xf numFmtId="1" fontId="15" fillId="2" borderId="5" xfId="0" applyNumberFormat="1" applyFont="1" applyFill="1" applyBorder="1" applyAlignment="1">
      <alignment horizontal="right" vertical="center"/>
    </xf>
    <xf numFmtId="1" fontId="15" fillId="2" borderId="5" xfId="0" applyNumberFormat="1" applyFont="1" applyFill="1" applyBorder="1" applyAlignment="1">
      <alignment horizontal="center" vertical="center"/>
    </xf>
    <xf numFmtId="1" fontId="16" fillId="2" borderId="5" xfId="0" applyNumberFormat="1" applyFont="1" applyFill="1" applyBorder="1" applyAlignment="1">
      <alignment horizontal="left" vertical="center"/>
    </xf>
    <xf numFmtId="3" fontId="16" fillId="2" borderId="5" xfId="0" applyNumberFormat="1" applyFont="1" applyFill="1" applyBorder="1" applyAlignment="1">
      <alignment horizontal="left" vertical="center"/>
    </xf>
    <xf numFmtId="0" fontId="15" fillId="2" borderId="5" xfId="0" applyFont="1" applyFill="1" applyBorder="1" applyAlignment="1">
      <alignment horizontal="right" vertical="center"/>
    </xf>
    <xf numFmtId="0" fontId="15" fillId="2" borderId="0" xfId="0" applyFont="1" applyFill="1" applyAlignment="1">
      <alignment horizontal="center" vertical="center"/>
    </xf>
    <xf numFmtId="0" fontId="14" fillId="2" borderId="0" xfId="0" applyFont="1" applyFill="1" applyAlignment="1">
      <alignment vertical="center"/>
    </xf>
    <xf numFmtId="0" fontId="15" fillId="2" borderId="1" xfId="0" applyFont="1" applyFill="1" applyBorder="1" applyAlignment="1">
      <alignment vertical="center"/>
    </xf>
    <xf numFmtId="0" fontId="15" fillId="2" borderId="1" xfId="0" applyFont="1" applyFill="1" applyBorder="1" applyAlignment="1">
      <alignment horizontal="right" vertical="center"/>
    </xf>
    <xf numFmtId="0" fontId="15" fillId="2" borderId="3" xfId="0" quotePrefix="1" applyFont="1" applyFill="1" applyBorder="1" applyAlignment="1">
      <alignment vertical="center"/>
    </xf>
    <xf numFmtId="1" fontId="15" fillId="2" borderId="3" xfId="0" applyNumberFormat="1" applyFont="1" applyFill="1" applyBorder="1" applyAlignment="1">
      <alignment vertical="center"/>
    </xf>
    <xf numFmtId="1" fontId="15" fillId="2" borderId="3" xfId="0" applyNumberFormat="1" applyFont="1" applyFill="1" applyBorder="1" applyAlignment="1">
      <alignment horizontal="right" vertical="center"/>
    </xf>
    <xf numFmtId="1" fontId="15" fillId="2" borderId="3" xfId="0" applyNumberFormat="1" applyFont="1" applyFill="1" applyBorder="1" applyAlignment="1">
      <alignment horizontal="center" vertical="center"/>
    </xf>
    <xf numFmtId="1" fontId="16" fillId="2" borderId="3" xfId="0" applyNumberFormat="1" applyFont="1" applyFill="1" applyBorder="1" applyAlignment="1">
      <alignment horizontal="left" vertical="center"/>
    </xf>
    <xf numFmtId="3" fontId="16" fillId="2" borderId="3" xfId="0" applyNumberFormat="1" applyFont="1" applyFill="1" applyBorder="1" applyAlignment="1">
      <alignment horizontal="left" vertical="center"/>
    </xf>
    <xf numFmtId="0" fontId="16" fillId="2" borderId="0" xfId="0" applyFont="1" applyFill="1" applyAlignment="1">
      <alignment vertical="center"/>
    </xf>
    <xf numFmtId="0" fontId="4" fillId="2" borderId="0" xfId="0" applyFont="1" applyFill="1" applyAlignment="1">
      <alignment vertical="center"/>
    </xf>
    <xf numFmtId="0" fontId="10" fillId="2" borderId="3" xfId="0" applyFont="1" applyFill="1" applyBorder="1" applyAlignment="1">
      <alignment vertical="center"/>
    </xf>
    <xf numFmtId="1" fontId="17" fillId="2" borderId="0" xfId="0" applyNumberFormat="1" applyFont="1" applyFill="1" applyAlignment="1">
      <alignment vertical="center"/>
    </xf>
    <xf numFmtId="0" fontId="13" fillId="2" borderId="5" xfId="0" applyFont="1" applyFill="1" applyBorder="1" applyAlignment="1">
      <alignment vertical="center"/>
    </xf>
    <xf numFmtId="1" fontId="16" fillId="2" borderId="5" xfId="0" applyNumberFormat="1" applyFont="1" applyFill="1" applyBorder="1" applyAlignment="1">
      <alignment vertical="center"/>
    </xf>
    <xf numFmtId="0" fontId="16" fillId="2" borderId="5" xfId="0" applyFont="1" applyFill="1" applyBorder="1" applyAlignment="1">
      <alignment vertical="center"/>
    </xf>
    <xf numFmtId="0" fontId="15" fillId="2" borderId="1" xfId="0" applyFont="1" applyFill="1" applyBorder="1" applyAlignment="1">
      <alignment horizontal="center" vertical="center"/>
    </xf>
    <xf numFmtId="0" fontId="15" fillId="2" borderId="1" xfId="0" quotePrefix="1" applyFont="1" applyFill="1" applyBorder="1" applyAlignment="1">
      <alignment vertical="center"/>
    </xf>
    <xf numFmtId="0" fontId="11" fillId="2" borderId="0" xfId="0" applyFont="1" applyFill="1" applyAlignment="1">
      <alignment horizontal="center" vertical="center"/>
    </xf>
    <xf numFmtId="0" fontId="1" fillId="2" borderId="3" xfId="0" applyFont="1" applyFill="1" applyBorder="1" applyAlignment="1">
      <alignment vertical="center"/>
    </xf>
    <xf numFmtId="0" fontId="12" fillId="2" borderId="0" xfId="0" applyFont="1" applyFill="1" applyAlignment="1">
      <alignment vertical="center"/>
    </xf>
    <xf numFmtId="0" fontId="11" fillId="2" borderId="0" xfId="0" applyFont="1" applyFill="1" applyAlignment="1">
      <alignment horizontal="right" vertical="center"/>
    </xf>
    <xf numFmtId="3" fontId="13" fillId="2" borderId="0" xfId="0" applyNumberFormat="1" applyFont="1" applyFill="1" applyAlignment="1">
      <alignment vertical="center"/>
    </xf>
    <xf numFmtId="0" fontId="13" fillId="2" borderId="0" xfId="0" applyFont="1" applyFill="1" applyAlignment="1">
      <alignment horizontal="right" vertical="center"/>
    </xf>
    <xf numFmtId="3" fontId="17" fillId="2" borderId="0" xfId="0" applyNumberFormat="1" applyFont="1" applyFill="1" applyAlignment="1">
      <alignment horizontal="left" vertical="center"/>
    </xf>
    <xf numFmtId="3" fontId="15" fillId="2" borderId="0" xfId="0" applyNumberFormat="1" applyFont="1" applyFill="1" applyAlignment="1">
      <alignment horizontal="left" vertical="center"/>
    </xf>
    <xf numFmtId="0" fontId="13" fillId="2" borderId="0" xfId="0" applyFont="1" applyFill="1" applyAlignment="1">
      <alignment horizontal="left" vertical="center"/>
    </xf>
    <xf numFmtId="0" fontId="15" fillId="2" borderId="5" xfId="0" applyFont="1" applyFill="1" applyBorder="1" applyAlignment="1">
      <alignment vertical="center"/>
    </xf>
    <xf numFmtId="3" fontId="15" fillId="2" borderId="5" xfId="0" applyNumberFormat="1" applyFont="1" applyFill="1" applyBorder="1" applyAlignment="1">
      <alignment vertical="center"/>
    </xf>
    <xf numFmtId="0" fontId="15" fillId="2" borderId="5" xfId="0" applyFont="1" applyFill="1" applyBorder="1" applyAlignment="1">
      <alignment horizontal="left" vertical="center"/>
    </xf>
    <xf numFmtId="3" fontId="15" fillId="2" borderId="5" xfId="0" applyNumberFormat="1" applyFont="1" applyFill="1" applyBorder="1" applyAlignment="1">
      <alignment horizontal="right" vertical="center"/>
    </xf>
    <xf numFmtId="3" fontId="15" fillId="2" borderId="5" xfId="0" applyNumberFormat="1" applyFont="1" applyFill="1" applyBorder="1" applyAlignment="1">
      <alignment horizontal="left" vertical="center"/>
    </xf>
    <xf numFmtId="3" fontId="15" fillId="2" borderId="0" xfId="0" applyNumberFormat="1" applyFont="1" applyFill="1" applyAlignment="1">
      <alignment horizontal="right" vertical="center"/>
    </xf>
    <xf numFmtId="3" fontId="13" fillId="2" borderId="0" xfId="0" applyNumberFormat="1" applyFont="1" applyFill="1" applyAlignment="1">
      <alignment horizontal="left" vertical="center"/>
    </xf>
    <xf numFmtId="0" fontId="11" fillId="2" borderId="5" xfId="0" applyFont="1" applyFill="1" applyBorder="1" applyAlignment="1">
      <alignment vertical="center"/>
    </xf>
    <xf numFmtId="0" fontId="16" fillId="2" borderId="0" xfId="0" applyFont="1" applyFill="1" applyAlignment="1">
      <alignment horizontal="left" vertical="center"/>
    </xf>
    <xf numFmtId="0" fontId="12" fillId="2" borderId="3" xfId="0" applyFont="1" applyFill="1" applyBorder="1" applyAlignment="1">
      <alignment horizontal="center" vertical="center"/>
    </xf>
    <xf numFmtId="0" fontId="15" fillId="2" borderId="3" xfId="0" applyFont="1" applyFill="1" applyBorder="1" applyAlignment="1">
      <alignment horizontal="center" vertical="center"/>
    </xf>
    <xf numFmtId="0" fontId="11" fillId="2" borderId="3" xfId="0" applyFont="1" applyFill="1" applyBorder="1" applyAlignment="1">
      <alignment horizontal="center" vertical="center"/>
    </xf>
    <xf numFmtId="3" fontId="11" fillId="2" borderId="0" xfId="0" applyNumberFormat="1" applyFont="1" applyFill="1" applyAlignment="1">
      <alignment vertical="center"/>
    </xf>
    <xf numFmtId="3" fontId="13" fillId="2" borderId="5" xfId="0" applyNumberFormat="1" applyFont="1" applyFill="1" applyBorder="1" applyAlignment="1">
      <alignment vertical="center"/>
    </xf>
    <xf numFmtId="0" fontId="13" fillId="2" borderId="5" xfId="0" applyFont="1" applyFill="1" applyBorder="1" applyAlignment="1">
      <alignment horizontal="right" vertical="center"/>
    </xf>
    <xf numFmtId="3" fontId="17" fillId="2" borderId="5" xfId="0" applyNumberFormat="1" applyFont="1" applyFill="1" applyBorder="1" applyAlignment="1">
      <alignment horizontal="left" vertical="center"/>
    </xf>
    <xf numFmtId="0" fontId="1" fillId="2" borderId="0" xfId="0" applyFont="1" applyFill="1"/>
    <xf numFmtId="0" fontId="11" fillId="2" borderId="0" xfId="0" applyFont="1" applyFill="1"/>
    <xf numFmtId="0" fontId="1" fillId="2" borderId="3" xfId="0" applyFont="1" applyFill="1" applyBorder="1"/>
    <xf numFmtId="0" fontId="11" fillId="2" borderId="3" xfId="0" applyFont="1" applyFill="1" applyBorder="1"/>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1" fillId="2" borderId="0" xfId="0" applyFont="1" applyFill="1" applyAlignment="1">
      <alignment horizontal="center" vertical="center" wrapText="1"/>
    </xf>
    <xf numFmtId="0" fontId="3" fillId="2" borderId="0" xfId="0" applyFont="1" applyFill="1" applyAlignment="1">
      <alignment vertical="center" wrapText="1"/>
    </xf>
    <xf numFmtId="0" fontId="1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xf>
    <xf numFmtId="0" fontId="11" fillId="2" borderId="1" xfId="0" applyFont="1" applyFill="1" applyBorder="1" applyAlignment="1">
      <alignment horizontal="center" vertical="center" wrapText="1"/>
    </xf>
    <xf numFmtId="0" fontId="3" fillId="2" borderId="0" xfId="0" applyFont="1" applyFill="1" applyAlignment="1">
      <alignment horizontal="center"/>
    </xf>
    <xf numFmtId="0" fontId="13" fillId="2" borderId="0" xfId="0" applyFont="1" applyFill="1" applyAlignment="1">
      <alignment horizontal="center" textRotation="90"/>
    </xf>
    <xf numFmtId="0" fontId="11" fillId="2" borderId="3"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0" fontId="13" fillId="2" borderId="3" xfId="0" applyFont="1" applyFill="1" applyBorder="1" applyAlignment="1">
      <alignment horizontal="center" textRotation="90"/>
    </xf>
    <xf numFmtId="0" fontId="4" fillId="2" borderId="0" xfId="0" applyFont="1" applyFill="1"/>
    <xf numFmtId="0" fontId="11" fillId="2" borderId="1" xfId="0" applyFont="1" applyFill="1" applyBorder="1" applyAlignment="1">
      <alignment vertical="center"/>
    </xf>
    <xf numFmtId="0" fontId="11" fillId="2" borderId="1" xfId="0" applyFont="1" applyFill="1" applyBorder="1" applyAlignment="1">
      <alignment horizontal="center" vertical="center"/>
    </xf>
    <xf numFmtId="0" fontId="15" fillId="2" borderId="3" xfId="0" applyFont="1" applyFill="1" applyBorder="1" applyAlignment="1">
      <alignment vertical="center"/>
    </xf>
    <xf numFmtId="0" fontId="16" fillId="2" borderId="3" xfId="0" applyFont="1" applyFill="1" applyBorder="1" applyAlignment="1">
      <alignment vertical="center"/>
    </xf>
    <xf numFmtId="0" fontId="16" fillId="2" borderId="3" xfId="0" applyFont="1" applyFill="1" applyBorder="1" applyAlignment="1">
      <alignment horizontal="left" vertical="center"/>
    </xf>
    <xf numFmtId="0" fontId="4" fillId="2" borderId="0" xfId="0" applyFont="1" applyFill="1" applyAlignment="1">
      <alignment horizontal="right" vertical="center"/>
    </xf>
    <xf numFmtId="0" fontId="16" fillId="2" borderId="0" xfId="0" applyFont="1" applyFill="1" applyAlignment="1">
      <alignment horizontal="right" vertical="center"/>
    </xf>
    <xf numFmtId="0" fontId="11" fillId="2" borderId="0" xfId="0" applyFont="1" applyFill="1" applyAlignment="1">
      <alignment horizontal="left" vertical="center"/>
    </xf>
    <xf numFmtId="0" fontId="11" fillId="2" borderId="3" xfId="0" applyFont="1" applyFill="1" applyBorder="1" applyAlignment="1">
      <alignment horizontal="left" vertical="center"/>
    </xf>
    <xf numFmtId="3" fontId="18" fillId="2" borderId="0" xfId="0" applyNumberFormat="1" applyFont="1" applyFill="1" applyAlignment="1">
      <alignment horizontal="right" vertical="center"/>
    </xf>
    <xf numFmtId="3" fontId="18" fillId="2" borderId="0" xfId="0" applyNumberFormat="1" applyFont="1" applyFill="1" applyAlignment="1">
      <alignment vertical="center"/>
    </xf>
    <xf numFmtId="0" fontId="15" fillId="2" borderId="0" xfId="0" applyFont="1" applyFill="1" applyAlignment="1">
      <alignment horizontal="center" vertical="center" wrapText="1"/>
    </xf>
    <xf numFmtId="0" fontId="15" fillId="2" borderId="3" xfId="0" applyFont="1" applyFill="1" applyBorder="1" applyAlignment="1">
      <alignment vertical="center" wrapText="1"/>
    </xf>
    <xf numFmtId="0" fontId="16" fillId="2" borderId="3" xfId="0" applyFont="1" applyFill="1" applyBorder="1" applyAlignment="1">
      <alignment vertical="center" wrapText="1"/>
    </xf>
    <xf numFmtId="0" fontId="16" fillId="2" borderId="0" xfId="0" applyFont="1" applyFill="1" applyAlignment="1">
      <alignment horizontal="left" vertical="center" wrapText="1"/>
    </xf>
    <xf numFmtId="0" fontId="16" fillId="2" borderId="0" xfId="0" applyFont="1" applyFill="1" applyAlignment="1">
      <alignment vertical="center" wrapText="1"/>
    </xf>
    <xf numFmtId="165" fontId="15" fillId="2" borderId="0" xfId="0" applyNumberFormat="1" applyFont="1" applyFill="1" applyAlignment="1">
      <alignment vertical="center"/>
    </xf>
    <xf numFmtId="0" fontId="15" fillId="2" borderId="0" xfId="0" applyFont="1" applyFill="1" applyAlignment="1">
      <alignment vertical="center" wrapText="1"/>
    </xf>
    <xf numFmtId="3" fontId="15" fillId="2" borderId="3" xfId="0" applyNumberFormat="1" applyFont="1" applyFill="1" applyBorder="1" applyAlignment="1">
      <alignment horizontal="right" vertical="center"/>
    </xf>
    <xf numFmtId="0" fontId="16" fillId="2" borderId="3" xfId="0" applyFont="1" applyFill="1" applyBorder="1" applyAlignment="1">
      <alignment horizontal="left" vertical="center" wrapText="1"/>
    </xf>
    <xf numFmtId="0" fontId="15" fillId="2" borderId="0" xfId="0" applyFont="1" applyFill="1" applyAlignment="1">
      <alignment horizontal="left" vertical="center" wrapText="1"/>
    </xf>
    <xf numFmtId="0" fontId="19" fillId="2" borderId="0" xfId="0" applyFont="1" applyFill="1" applyAlignment="1">
      <alignment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vertical="center"/>
    </xf>
    <xf numFmtId="0" fontId="14" fillId="2" borderId="5" xfId="0" applyFont="1" applyFill="1" applyBorder="1" applyAlignment="1">
      <alignment vertical="center"/>
    </xf>
    <xf numFmtId="0" fontId="13" fillId="2" borderId="5" xfId="0" applyFont="1" applyFill="1" applyBorder="1" applyAlignment="1">
      <alignment horizontal="left" vertical="center"/>
    </xf>
    <xf numFmtId="3" fontId="13" fillId="2" borderId="0" xfId="0" applyNumberFormat="1" applyFont="1" applyFill="1" applyAlignment="1">
      <alignment horizontal="center" vertical="center"/>
    </xf>
    <xf numFmtId="3" fontId="13" fillId="2" borderId="0" xfId="0" applyNumberFormat="1" applyFont="1" applyFill="1" applyAlignment="1">
      <alignment horizontal="right" vertical="center"/>
    </xf>
    <xf numFmtId="3" fontId="15" fillId="2" borderId="0" xfId="0" applyNumberFormat="1" applyFont="1" applyFill="1" applyAlignment="1">
      <alignment horizontal="center" vertical="center"/>
    </xf>
    <xf numFmtId="3" fontId="15" fillId="2" borderId="5" xfId="0" applyNumberFormat="1" applyFont="1" applyFill="1" applyBorder="1" applyAlignment="1">
      <alignment horizontal="center" vertical="center"/>
    </xf>
    <xf numFmtId="3" fontId="13" fillId="2" borderId="5" xfId="0" applyNumberFormat="1" applyFont="1" applyFill="1" applyBorder="1" applyAlignment="1">
      <alignment horizontal="center" vertical="center"/>
    </xf>
    <xf numFmtId="3" fontId="16" fillId="2" borderId="0" xfId="0" applyNumberFormat="1" applyFont="1" applyFill="1" applyAlignment="1">
      <alignment vertical="center"/>
    </xf>
    <xf numFmtId="0" fontId="12" fillId="2" borderId="0" xfId="0" quotePrefix="1" applyFont="1" applyFill="1" applyAlignment="1">
      <alignment vertical="center"/>
    </xf>
    <xf numFmtId="0" fontId="13" fillId="2" borderId="3" xfId="0" applyFont="1" applyFill="1" applyBorder="1" applyAlignment="1">
      <alignment vertical="center"/>
    </xf>
    <xf numFmtId="3" fontId="13" fillId="2" borderId="3" xfId="0" applyNumberFormat="1" applyFont="1" applyFill="1" applyBorder="1" applyAlignment="1">
      <alignment vertical="center"/>
    </xf>
    <xf numFmtId="3" fontId="13" fillId="2" borderId="5" xfId="0" applyNumberFormat="1" applyFont="1" applyFill="1" applyBorder="1" applyAlignment="1">
      <alignment horizontal="right" vertical="center"/>
    </xf>
    <xf numFmtId="0" fontId="14" fillId="2" borderId="3" xfId="0" applyFont="1" applyFill="1" applyBorder="1" applyAlignment="1">
      <alignment horizontal="center" vertical="center"/>
    </xf>
    <xf numFmtId="0" fontId="17" fillId="2" borderId="0" xfId="0" applyFont="1" applyFill="1" applyAlignment="1">
      <alignment horizontal="left" vertical="center"/>
    </xf>
    <xf numFmtId="0" fontId="17" fillId="2" borderId="5" xfId="0" applyFont="1" applyFill="1" applyBorder="1" applyAlignment="1">
      <alignment horizontal="left" vertical="center"/>
    </xf>
    <xf numFmtId="0" fontId="4" fillId="2" borderId="0" xfId="0" applyFont="1" applyFill="1" applyAlignment="1">
      <alignment vertical="center" wrapText="1"/>
    </xf>
    <xf numFmtId="0" fontId="15" fillId="2" borderId="2" xfId="0" applyFont="1" applyFill="1" applyBorder="1" applyAlignment="1">
      <alignment horizontal="right" vertical="center"/>
    </xf>
    <xf numFmtId="0" fontId="13" fillId="2" borderId="2" xfId="0" applyFont="1" applyFill="1" applyBorder="1" applyAlignment="1">
      <alignment horizontal="right" vertical="center"/>
    </xf>
    <xf numFmtId="0" fontId="15" fillId="2" borderId="3" xfId="0" applyFont="1" applyFill="1" applyBorder="1" applyAlignment="1">
      <alignment horizontal="left" vertical="center"/>
    </xf>
    <xf numFmtId="3" fontId="4" fillId="2" borderId="0" xfId="0" applyNumberFormat="1" applyFont="1" applyFill="1" applyAlignment="1">
      <alignment vertical="center"/>
    </xf>
    <xf numFmtId="0" fontId="26" fillId="0" borderId="0" xfId="0" applyFont="1"/>
    <xf numFmtId="0" fontId="27" fillId="0" borderId="0" xfId="0" applyFont="1"/>
    <xf numFmtId="0" fontId="3" fillId="2" borderId="0" xfId="0" applyFont="1" applyFill="1"/>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15" fillId="2" borderId="1" xfId="0" applyFont="1" applyFill="1" applyBorder="1" applyAlignment="1">
      <alignment horizontal="center" vertical="top" wrapText="1"/>
    </xf>
    <xf numFmtId="0" fontId="7" fillId="2" borderId="0" xfId="0" applyFont="1" applyFill="1" applyAlignment="1">
      <alignment vertical="center"/>
    </xf>
    <xf numFmtId="0" fontId="15" fillId="2" borderId="0" xfId="0" applyFont="1" applyFill="1" applyAlignment="1">
      <alignment horizontal="right"/>
    </xf>
    <xf numFmtId="0" fontId="16" fillId="2" borderId="0" xfId="0" applyFont="1" applyFill="1"/>
    <xf numFmtId="3" fontId="15" fillId="2" borderId="0" xfId="0" applyNumberFormat="1" applyFont="1" applyFill="1"/>
    <xf numFmtId="0" fontId="16" fillId="2" borderId="0" xfId="0" applyFont="1" applyFill="1" applyAlignment="1">
      <alignment horizontal="left"/>
    </xf>
    <xf numFmtId="3" fontId="15" fillId="2" borderId="0" xfId="0" applyNumberFormat="1" applyFont="1" applyFill="1" applyAlignment="1">
      <alignment horizontal="right"/>
    </xf>
    <xf numFmtId="0" fontId="15" fillId="2" borderId="0" xfId="0" applyFont="1" applyFill="1"/>
    <xf numFmtId="0" fontId="16" fillId="2" borderId="0" xfId="0" applyFont="1" applyFill="1" applyAlignment="1">
      <alignment horizontal="right"/>
    </xf>
    <xf numFmtId="0" fontId="15" fillId="2" borderId="0" xfId="0" applyFont="1" applyFill="1" applyAlignment="1">
      <alignment horizontal="left"/>
    </xf>
    <xf numFmtId="0" fontId="28" fillId="2" borderId="0" xfId="0" applyFont="1" applyFill="1" applyAlignment="1">
      <alignment vertical="center"/>
    </xf>
    <xf numFmtId="3" fontId="16" fillId="2" borderId="0" xfId="0" applyNumberFormat="1" applyFont="1" applyFill="1" applyAlignment="1">
      <alignment horizontal="left"/>
    </xf>
    <xf numFmtId="0" fontId="16" fillId="2" borderId="0" xfId="0" applyFont="1" applyFill="1" applyAlignment="1">
      <alignment wrapText="1"/>
    </xf>
    <xf numFmtId="165" fontId="15" fillId="2" borderId="0" xfId="0" applyNumberFormat="1" applyFont="1" applyFill="1"/>
    <xf numFmtId="0" fontId="16" fillId="2" borderId="0" xfId="0" applyFont="1" applyFill="1" applyAlignment="1">
      <alignment horizontal="left" wrapText="1"/>
    </xf>
    <xf numFmtId="0" fontId="15" fillId="2" borderId="0" xfId="0" applyFont="1" applyFill="1" applyAlignment="1">
      <alignment wrapText="1"/>
    </xf>
    <xf numFmtId="1" fontId="15" fillId="2" borderId="0" xfId="0" applyNumberFormat="1" applyFont="1" applyFill="1"/>
    <xf numFmtId="0" fontId="15" fillId="2" borderId="0" xfId="0" applyFont="1" applyFill="1" applyAlignment="1">
      <alignment horizontal="left" wrapText="1"/>
    </xf>
    <xf numFmtId="3" fontId="18" fillId="2" borderId="0" xfId="0" applyNumberFormat="1" applyFont="1" applyFill="1"/>
    <xf numFmtId="0" fontId="4" fillId="2" borderId="4" xfId="0" applyFont="1" applyFill="1" applyBorder="1" applyAlignment="1">
      <alignment horizontal="center" vertical="center" wrapText="1"/>
    </xf>
    <xf numFmtId="0" fontId="28" fillId="2" borderId="1" xfId="0" applyFont="1" applyFill="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28" fillId="2" borderId="0" xfId="0" applyFont="1" applyFill="1" applyAlignment="1">
      <alignment horizontal="center" vertical="center"/>
    </xf>
    <xf numFmtId="0" fontId="7" fillId="2" borderId="0" xfId="0" applyFont="1" applyFill="1" applyAlignment="1">
      <alignment vertical="center" wrapText="1"/>
    </xf>
    <xf numFmtId="0" fontId="7" fillId="2" borderId="3" xfId="0" applyFont="1" applyFill="1" applyBorder="1" applyAlignment="1">
      <alignment vertical="center" wrapText="1"/>
    </xf>
    <xf numFmtId="0" fontId="7" fillId="2" borderId="0" xfId="0" applyFont="1" applyFill="1" applyAlignment="1">
      <alignment horizontal="center" vertical="center" wrapText="1"/>
    </xf>
    <xf numFmtId="0" fontId="28" fillId="2" borderId="0" xfId="0" applyFont="1" applyFill="1" applyAlignment="1">
      <alignment horizontal="center" vertical="center" wrapText="1"/>
    </xf>
    <xf numFmtId="3" fontId="15" fillId="2" borderId="7" xfId="0" applyNumberFormat="1" applyFont="1" applyFill="1" applyBorder="1" applyAlignment="1">
      <alignment vertical="center"/>
    </xf>
    <xf numFmtId="1" fontId="15" fillId="2" borderId="7" xfId="0" applyNumberFormat="1" applyFont="1" applyFill="1" applyBorder="1" applyAlignment="1">
      <alignment vertical="center"/>
    </xf>
    <xf numFmtId="0" fontId="7" fillId="2" borderId="0" xfId="0" applyFont="1" applyFill="1"/>
    <xf numFmtId="0" fontId="7" fillId="2" borderId="0" xfId="0" quotePrefix="1" applyFont="1" applyFill="1" applyAlignment="1">
      <alignment vertical="center"/>
    </xf>
    <xf numFmtId="0" fontId="15" fillId="2" borderId="0" xfId="0" applyFont="1" applyFill="1" applyAlignment="1">
      <alignment horizontal="center" vertical="top" wrapText="1"/>
    </xf>
    <xf numFmtId="0" fontId="4" fillId="2" borderId="4" xfId="0" applyFont="1" applyFill="1" applyBorder="1" applyAlignment="1">
      <alignment horizontal="center" vertical="top" wrapText="1"/>
    </xf>
    <xf numFmtId="0" fontId="4" fillId="2" borderId="0" xfId="0" applyFont="1" applyFill="1" applyAlignment="1">
      <alignment horizontal="center" vertical="top" wrapText="1"/>
    </xf>
    <xf numFmtId="0" fontId="1" fillId="2" borderId="0" xfId="0" applyFont="1" applyFill="1" applyAlignment="1">
      <alignment vertical="center" wrapText="1"/>
    </xf>
    <xf numFmtId="0" fontId="3" fillId="2" borderId="0" xfId="0" applyFont="1" applyFill="1" applyAlignment="1">
      <alignment horizontal="center" wrapText="1"/>
    </xf>
    <xf numFmtId="0" fontId="15" fillId="2" borderId="1" xfId="0" applyFont="1" applyFill="1" applyBorder="1" applyAlignment="1">
      <alignment horizontal="center" vertical="center" wrapText="1"/>
    </xf>
    <xf numFmtId="0" fontId="32" fillId="2" borderId="0" xfId="0" applyFont="1" applyFill="1" applyAlignment="1">
      <alignment horizontal="center" vertical="center" wrapText="1"/>
    </xf>
    <xf numFmtId="0" fontId="15" fillId="2" borderId="0" xfId="0" applyFont="1" applyFill="1" applyAlignment="1">
      <alignment horizontal="center"/>
    </xf>
    <xf numFmtId="3" fontId="13" fillId="2" borderId="7" xfId="0" applyNumberFormat="1" applyFont="1" applyFill="1" applyBorder="1" applyAlignment="1">
      <alignment vertical="center"/>
    </xf>
    <xf numFmtId="166" fontId="11" fillId="2" borderId="0" xfId="0" applyNumberFormat="1" applyFont="1" applyFill="1" applyAlignment="1">
      <alignment vertical="center"/>
    </xf>
    <xf numFmtId="167" fontId="11" fillId="2" borderId="0" xfId="0" applyNumberFormat="1" applyFont="1" applyFill="1" applyAlignment="1">
      <alignment vertical="center"/>
    </xf>
    <xf numFmtId="3" fontId="17" fillId="2" borderId="0" xfId="0" applyNumberFormat="1" applyFont="1" applyFill="1" applyAlignment="1">
      <alignment horizontal="right" vertical="center"/>
    </xf>
    <xf numFmtId="3" fontId="16" fillId="2" borderId="0" xfId="0" applyNumberFormat="1" applyFont="1" applyFill="1" applyAlignment="1">
      <alignment horizontal="right" vertical="center"/>
    </xf>
    <xf numFmtId="0" fontId="35" fillId="2" borderId="0" xfId="0" applyFont="1" applyFill="1" applyAlignment="1">
      <alignment vertical="center"/>
    </xf>
    <xf numFmtId="0" fontId="2" fillId="2" borderId="0" xfId="3" applyFont="1" applyFill="1" applyAlignment="1" applyProtection="1">
      <alignment horizontal="left"/>
    </xf>
    <xf numFmtId="0" fontId="5" fillId="2" borderId="0" xfId="0" applyFont="1" applyFill="1" applyAlignment="1">
      <alignment vertical="top"/>
    </xf>
    <xf numFmtId="0" fontId="5" fillId="2" borderId="0" xfId="0" applyFont="1" applyFill="1"/>
    <xf numFmtId="0" fontId="6" fillId="2" borderId="0" xfId="0" applyFont="1" applyFill="1" applyAlignment="1">
      <alignment horizontal="center" vertical="top"/>
    </xf>
    <xf numFmtId="0" fontId="5" fillId="2" borderId="0" xfId="0" applyFont="1" applyFill="1" applyAlignment="1">
      <alignment horizontal="center" vertical="top"/>
    </xf>
    <xf numFmtId="0" fontId="5" fillId="2" borderId="3" xfId="0" applyFont="1" applyFill="1" applyBorder="1" applyAlignment="1">
      <alignment horizontal="center" vertical="top"/>
    </xf>
    <xf numFmtId="0" fontId="33" fillId="2" borderId="0" xfId="0" applyFont="1" applyFill="1" applyAlignment="1">
      <alignment vertical="center"/>
    </xf>
    <xf numFmtId="0" fontId="43" fillId="2" borderId="0" xfId="0" applyFont="1" applyFill="1" applyAlignment="1">
      <alignment vertical="center"/>
    </xf>
    <xf numFmtId="0" fontId="44" fillId="2" borderId="0" xfId="0" applyFont="1" applyFill="1" applyAlignment="1">
      <alignment vertical="center"/>
    </xf>
    <xf numFmtId="0" fontId="45" fillId="2" borderId="0" xfId="0" applyFont="1" applyFill="1" applyAlignment="1">
      <alignment vertical="center"/>
    </xf>
    <xf numFmtId="0" fontId="16" fillId="2" borderId="0" xfId="0" applyFont="1" applyFill="1" applyAlignment="1">
      <alignment horizontal="left" vertical="top"/>
    </xf>
    <xf numFmtId="0" fontId="45" fillId="2" borderId="0" xfId="0" applyFont="1" applyFill="1"/>
    <xf numFmtId="3" fontId="11" fillId="2" borderId="0" xfId="0" applyNumberFormat="1" applyFont="1" applyFill="1"/>
    <xf numFmtId="0" fontId="6" fillId="2" borderId="6" xfId="0" applyFont="1" applyFill="1" applyBorder="1" applyAlignment="1">
      <alignment horizontal="center" vertical="top"/>
    </xf>
    <xf numFmtId="0" fontId="5" fillId="2" borderId="5" xfId="0" applyFont="1" applyFill="1" applyBorder="1" applyAlignment="1">
      <alignment horizontal="center" vertical="top"/>
    </xf>
    <xf numFmtId="0" fontId="15" fillId="2" borderId="0" xfId="0" applyFont="1" applyFill="1" applyAlignment="1">
      <alignment horizontal="center" vertical="top"/>
    </xf>
    <xf numFmtId="0" fontId="5" fillId="2" borderId="3" xfId="0" applyFont="1" applyFill="1" applyBorder="1" applyAlignment="1">
      <alignment horizontal="center"/>
    </xf>
    <xf numFmtId="0" fontId="47" fillId="2" borderId="0" xfId="0" applyFont="1" applyFill="1" applyAlignment="1">
      <alignment vertical="center"/>
    </xf>
    <xf numFmtId="168" fontId="15" fillId="2" borderId="0" xfId="5" applyNumberFormat="1" applyFont="1" applyFill="1" applyBorder="1" applyAlignment="1">
      <alignment horizontal="center" vertical="center"/>
    </xf>
    <xf numFmtId="168" fontId="15" fillId="2" borderId="0" xfId="5" applyNumberFormat="1" applyFont="1" applyFill="1" applyBorder="1" applyAlignment="1">
      <alignment horizontal="center"/>
    </xf>
    <xf numFmtId="168" fontId="16" fillId="2" borderId="0" xfId="5" applyNumberFormat="1" applyFont="1" applyFill="1" applyBorder="1" applyAlignment="1">
      <alignment horizontal="center"/>
    </xf>
    <xf numFmtId="168" fontId="15" fillId="2" borderId="0" xfId="5" quotePrefix="1" applyNumberFormat="1" applyFont="1" applyFill="1" applyBorder="1" applyAlignment="1">
      <alignment horizontal="center"/>
    </xf>
    <xf numFmtId="0" fontId="47" fillId="2" borderId="0" xfId="0" applyFont="1" applyFill="1" applyAlignment="1">
      <alignment horizontal="left" vertical="center"/>
    </xf>
    <xf numFmtId="0" fontId="47" fillId="2" borderId="0" xfId="0" applyFont="1" applyFill="1"/>
    <xf numFmtId="169" fontId="13" fillId="2" borderId="0" xfId="5" applyNumberFormat="1" applyFont="1" applyFill="1" applyBorder="1" applyAlignment="1">
      <alignment horizontal="center"/>
    </xf>
    <xf numFmtId="168" fontId="13" fillId="2" borderId="0" xfId="5" applyNumberFormat="1" applyFont="1" applyFill="1" applyBorder="1" applyAlignment="1">
      <alignment horizontal="center"/>
    </xf>
    <xf numFmtId="168" fontId="17" fillId="2" borderId="0" xfId="5" applyNumberFormat="1" applyFont="1" applyFill="1" applyBorder="1" applyAlignment="1">
      <alignment horizontal="center"/>
    </xf>
    <xf numFmtId="0" fontId="6" fillId="2" borderId="5" xfId="0" applyFont="1" applyFill="1" applyBorder="1" applyAlignment="1">
      <alignment horizontal="center" vertical="top"/>
    </xf>
    <xf numFmtId="49" fontId="4" fillId="2" borderId="0" xfId="0" applyNumberFormat="1" applyFont="1" applyFill="1" applyAlignment="1">
      <alignment vertical="center" wrapText="1"/>
    </xf>
    <xf numFmtId="0" fontId="48" fillId="2" borderId="0" xfId="6" applyFont="1" applyFill="1"/>
    <xf numFmtId="0" fontId="49" fillId="2" borderId="0" xfId="6" applyFont="1" applyFill="1"/>
    <xf numFmtId="0" fontId="15" fillId="2" borderId="0" xfId="6" applyFill="1"/>
    <xf numFmtId="170" fontId="15" fillId="2" borderId="0" xfId="0" applyNumberFormat="1" applyFont="1" applyFill="1" applyAlignment="1">
      <alignment horizontal="center" vertical="center"/>
    </xf>
    <xf numFmtId="0" fontId="50" fillId="2" borderId="0" xfId="6" applyFont="1" applyFill="1"/>
    <xf numFmtId="3" fontId="51" fillId="2" borderId="0" xfId="0" applyNumberFormat="1" applyFont="1" applyFill="1" applyAlignment="1">
      <alignment horizontal="center" vertical="center"/>
    </xf>
    <xf numFmtId="0" fontId="0" fillId="2" borderId="0" xfId="0" applyFill="1"/>
    <xf numFmtId="3" fontId="53" fillId="2" borderId="0" xfId="0" applyNumberFormat="1" applyFont="1" applyFill="1" applyAlignment="1">
      <alignment horizontal="center"/>
    </xf>
    <xf numFmtId="3" fontId="0" fillId="2" borderId="0" xfId="0" applyNumberFormat="1" applyFill="1"/>
    <xf numFmtId="3" fontId="52" fillId="2" borderId="0" xfId="0" applyNumberFormat="1" applyFont="1" applyFill="1" applyAlignment="1">
      <alignment horizontal="center"/>
    </xf>
    <xf numFmtId="0" fontId="0" fillId="2" borderId="3" xfId="0"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0" xfId="0" applyFont="1" applyFill="1" applyAlignment="1">
      <alignment horizontal="center" vertical="center" wrapText="1"/>
    </xf>
    <xf numFmtId="0" fontId="54" fillId="2" borderId="0" xfId="0" applyFont="1" applyFill="1"/>
    <xf numFmtId="0" fontId="54" fillId="2" borderId="3" xfId="0" applyFont="1" applyFill="1" applyBorder="1"/>
    <xf numFmtId="3" fontId="13" fillId="2" borderId="7" xfId="0" applyNumberFormat="1" applyFont="1" applyFill="1" applyBorder="1" applyAlignment="1">
      <alignment horizontal="right" vertical="center"/>
    </xf>
    <xf numFmtId="0" fontId="55" fillId="2" borderId="0" xfId="6" applyFont="1" applyFill="1"/>
    <xf numFmtId="0" fontId="56" fillId="2" borderId="0" xfId="6" applyFont="1" applyFill="1"/>
    <xf numFmtId="171" fontId="11" fillId="2" borderId="0" xfId="0" applyNumberFormat="1" applyFont="1" applyFill="1" applyAlignment="1">
      <alignment vertical="center"/>
    </xf>
    <xf numFmtId="3" fontId="57" fillId="2" borderId="0" xfId="0" applyNumberFormat="1" applyFont="1" applyFill="1" applyAlignment="1">
      <alignment horizontal="center" vertical="center"/>
    </xf>
    <xf numFmtId="0" fontId="11" fillId="2" borderId="7" xfId="0" applyFont="1" applyFill="1" applyBorder="1" applyAlignment="1">
      <alignment vertical="center"/>
    </xf>
    <xf numFmtId="0" fontId="14" fillId="2" borderId="7" xfId="0" applyFont="1" applyFill="1" applyBorder="1" applyAlignment="1">
      <alignment vertical="center"/>
    </xf>
    <xf numFmtId="0" fontId="0" fillId="2" borderId="3" xfId="0" applyFill="1" applyBorder="1" applyAlignment="1">
      <alignment horizontal="center" textRotation="90"/>
    </xf>
    <xf numFmtId="0" fontId="33" fillId="2" borderId="0" xfId="0" quotePrefix="1" applyFont="1" applyFill="1" applyAlignment="1">
      <alignment vertical="center"/>
    </xf>
    <xf numFmtId="0" fontId="15" fillId="2" borderId="7" xfId="0" applyFont="1" applyFill="1" applyBorder="1" applyAlignment="1">
      <alignment horizontal="right" vertical="center"/>
    </xf>
    <xf numFmtId="0" fontId="13" fillId="2" borderId="7" xfId="0" applyFont="1" applyFill="1" applyBorder="1" applyAlignment="1">
      <alignment horizontal="right" vertical="center"/>
    </xf>
    <xf numFmtId="3" fontId="16" fillId="2" borderId="7" xfId="0" applyNumberFormat="1" applyFont="1" applyFill="1" applyBorder="1" applyAlignment="1">
      <alignment horizontal="left" vertical="center"/>
    </xf>
    <xf numFmtId="3" fontId="17" fillId="2" borderId="7" xfId="0" applyNumberFormat="1" applyFont="1" applyFill="1" applyBorder="1" applyAlignment="1">
      <alignment horizontal="left" vertical="center"/>
    </xf>
    <xf numFmtId="0" fontId="58" fillId="2" borderId="0" xfId="0" applyFont="1" applyFill="1"/>
    <xf numFmtId="0" fontId="32" fillId="2" borderId="0" xfId="0" applyFont="1" applyFill="1" applyAlignment="1">
      <alignment vertical="center"/>
    </xf>
    <xf numFmtId="3" fontId="13" fillId="0" borderId="0" xfId="0" applyNumberFormat="1" applyFont="1" applyAlignment="1">
      <alignment vertical="center"/>
    </xf>
    <xf numFmtId="3" fontId="15" fillId="0" borderId="0" xfId="0" applyNumberFormat="1" applyFont="1" applyAlignment="1">
      <alignment vertical="center"/>
    </xf>
    <xf numFmtId="3" fontId="15" fillId="0" borderId="0" xfId="0" applyNumberFormat="1" applyFont="1" applyAlignment="1">
      <alignment horizontal="right" vertical="center"/>
    </xf>
    <xf numFmtId="1" fontId="13" fillId="0" borderId="0" xfId="0" applyNumberFormat="1" applyFont="1" applyAlignment="1">
      <alignment vertical="center"/>
    </xf>
    <xf numFmtId="0" fontId="15" fillId="2" borderId="0" xfId="8" applyFill="1"/>
    <xf numFmtId="0" fontId="61" fillId="2" borderId="0" xfId="8" applyFont="1" applyFill="1" applyAlignment="1">
      <alignment vertical="top"/>
    </xf>
    <xf numFmtId="0" fontId="7" fillId="2" borderId="0" xfId="8" applyFont="1" applyFill="1" applyAlignment="1">
      <alignment vertical="top"/>
    </xf>
    <xf numFmtId="0" fontId="3" fillId="2" borderId="0" xfId="8" applyFont="1" applyFill="1" applyAlignment="1">
      <alignment vertical="top"/>
    </xf>
    <xf numFmtId="4" fontId="13" fillId="2" borderId="0" xfId="0" applyNumberFormat="1" applyFont="1" applyFill="1" applyAlignment="1">
      <alignment vertical="center"/>
    </xf>
    <xf numFmtId="0" fontId="15" fillId="2" borderId="0" xfId="8" applyFill="1" applyAlignment="1">
      <alignment vertical="top"/>
    </xf>
    <xf numFmtId="0" fontId="5" fillId="2" borderId="6" xfId="0" applyFont="1" applyFill="1" applyBorder="1" applyAlignment="1">
      <alignment horizontal="center" vertical="top"/>
    </xf>
    <xf numFmtId="0" fontId="5" fillId="2" borderId="5" xfId="0" applyFont="1" applyFill="1" applyBorder="1" applyAlignment="1">
      <alignment horizontal="center"/>
    </xf>
    <xf numFmtId="0" fontId="15" fillId="2" borderId="0" xfId="10" applyFill="1"/>
    <xf numFmtId="0" fontId="60" fillId="2" borderId="0" xfId="10" applyFont="1" applyFill="1" applyAlignment="1">
      <alignment horizontal="center" vertical="top"/>
    </xf>
    <xf numFmtId="0" fontId="15" fillId="2" borderId="3" xfId="10" applyFill="1" applyBorder="1"/>
    <xf numFmtId="0" fontId="15" fillId="2" borderId="7" xfId="0" applyFont="1" applyFill="1" applyBorder="1" applyAlignment="1">
      <alignment horizontal="left" vertical="center"/>
    </xf>
    <xf numFmtId="0" fontId="16" fillId="2" borderId="7" xfId="0" applyFont="1" applyFill="1" applyBorder="1" applyAlignment="1">
      <alignment horizontal="left" vertical="center"/>
    </xf>
    <xf numFmtId="0" fontId="17" fillId="2" borderId="7" xfId="0" applyFont="1" applyFill="1" applyBorder="1" applyAlignment="1">
      <alignment horizontal="left" vertical="center"/>
    </xf>
    <xf numFmtId="1" fontId="13" fillId="2" borderId="7" xfId="0" applyNumberFormat="1" applyFont="1" applyFill="1" applyBorder="1" applyAlignment="1">
      <alignment vertical="center"/>
    </xf>
    <xf numFmtId="172" fontId="13" fillId="2" borderId="0" xfId="0" applyNumberFormat="1" applyFont="1" applyFill="1" applyAlignment="1">
      <alignment vertical="center"/>
    </xf>
    <xf numFmtId="0" fontId="13" fillId="2" borderId="0" xfId="0" applyFont="1" applyFill="1" applyAlignment="1">
      <alignment horizontal="center" vertical="center"/>
    </xf>
    <xf numFmtId="0" fontId="28" fillId="2" borderId="3" xfId="0" applyFont="1" applyFill="1" applyBorder="1" applyAlignment="1">
      <alignment horizontal="center"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5" fillId="2" borderId="0" xfId="0" quotePrefix="1" applyFont="1" applyFill="1"/>
    <xf numFmtId="0" fontId="3" fillId="2" borderId="0" xfId="0" applyFont="1" applyFill="1" applyAlignment="1">
      <alignment horizontal="center" vertical="center"/>
    </xf>
    <xf numFmtId="171" fontId="15" fillId="2" borderId="0" xfId="0" applyNumberFormat="1" applyFont="1" applyFill="1" applyAlignment="1">
      <alignment horizontal="center" vertical="center"/>
    </xf>
    <xf numFmtId="0" fontId="64" fillId="2" borderId="0" xfId="0" applyFont="1" applyFill="1" applyAlignment="1">
      <alignment vertical="center"/>
    </xf>
    <xf numFmtId="0" fontId="24" fillId="2" borderId="0" xfId="0" applyFont="1" applyFill="1" applyAlignment="1">
      <alignment horizontal="center" vertical="center"/>
    </xf>
    <xf numFmtId="0" fontId="13" fillId="2" borderId="3" xfId="0" applyFont="1" applyFill="1" applyBorder="1" applyAlignment="1">
      <alignment horizontal="center" vertical="center"/>
    </xf>
    <xf numFmtId="0" fontId="24" fillId="2" borderId="3" xfId="0" applyFont="1" applyFill="1" applyBorder="1" applyAlignment="1">
      <alignment horizontal="center" vertical="center"/>
    </xf>
    <xf numFmtId="3" fontId="15" fillId="2" borderId="7" xfId="0" applyNumberFormat="1" applyFont="1" applyFill="1" applyBorder="1" applyAlignment="1">
      <alignment horizontal="right" vertical="center"/>
    </xf>
    <xf numFmtId="0" fontId="32" fillId="0" borderId="0" xfId="0" applyFont="1" applyAlignment="1">
      <alignment vertical="center"/>
    </xf>
    <xf numFmtId="0" fontId="15" fillId="2" borderId="0" xfId="8" applyFill="1" applyAlignment="1">
      <alignment horizontal="center" vertical="center"/>
    </xf>
    <xf numFmtId="0" fontId="38" fillId="2" borderId="0" xfId="8" applyFont="1" applyFill="1"/>
    <xf numFmtId="0" fontId="39" fillId="2" borderId="0" xfId="8" applyFont="1" applyFill="1"/>
    <xf numFmtId="0" fontId="40" fillId="2" borderId="0" xfId="8" applyFont="1" applyFill="1"/>
    <xf numFmtId="0" fontId="1" fillId="2" borderId="0" xfId="8" applyFont="1" applyFill="1"/>
    <xf numFmtId="0" fontId="33" fillId="2" borderId="0" xfId="8" applyFont="1" applyFill="1"/>
    <xf numFmtId="0" fontId="3" fillId="2" borderId="0" xfId="8" applyFont="1" applyFill="1" applyAlignment="1">
      <alignment horizontal="left"/>
    </xf>
    <xf numFmtId="0" fontId="42" fillId="2" borderId="0" xfId="8" applyFont="1" applyFill="1"/>
    <xf numFmtId="0" fontId="3" fillId="2" borderId="0" xfId="11" applyFont="1" applyFill="1" applyAlignment="1">
      <alignment horizontal="left"/>
    </xf>
    <xf numFmtId="0" fontId="3" fillId="2" borderId="0" xfId="11" applyFont="1" applyFill="1"/>
    <xf numFmtId="0" fontId="68" fillId="2" borderId="0" xfId="11" applyFont="1" applyFill="1" applyAlignment="1">
      <alignment horizontal="left"/>
    </xf>
    <xf numFmtId="0" fontId="3" fillId="2" borderId="0" xfId="11" quotePrefix="1" applyFont="1" applyFill="1" applyAlignment="1">
      <alignment horizontal="left"/>
    </xf>
    <xf numFmtId="1" fontId="15" fillId="0" borderId="0" xfId="0" applyNumberFormat="1" applyFont="1" applyAlignment="1">
      <alignment horizontal="right" vertical="center"/>
    </xf>
    <xf numFmtId="1" fontId="15" fillId="0" borderId="0" xfId="0" applyNumberFormat="1" applyFont="1" applyAlignment="1">
      <alignment vertical="center"/>
    </xf>
    <xf numFmtId="0" fontId="65" fillId="2" borderId="0" xfId="0" applyFont="1" applyFill="1"/>
    <xf numFmtId="0" fontId="5" fillId="2" borderId="5" xfId="0" applyFont="1" applyFill="1" applyBorder="1" applyAlignment="1">
      <alignment vertical="top"/>
    </xf>
    <xf numFmtId="0" fontId="5" fillId="2" borderId="5" xfId="0" applyFont="1" applyFill="1" applyBorder="1"/>
    <xf numFmtId="0" fontId="72" fillId="0" borderId="0" xfId="0" applyFont="1"/>
    <xf numFmtId="165" fontId="15" fillId="2" borderId="0" xfId="0" applyNumberFormat="1" applyFont="1" applyFill="1" applyAlignment="1">
      <alignment horizontal="center" vertical="center"/>
    </xf>
    <xf numFmtId="0" fontId="2" fillId="2" borderId="0" xfId="1" applyFill="1" applyAlignment="1" applyProtection="1"/>
    <xf numFmtId="0" fontId="65" fillId="2" borderId="0" xfId="0" applyFont="1" applyFill="1" applyAlignment="1">
      <alignment vertical="center"/>
    </xf>
    <xf numFmtId="0" fontId="0" fillId="2" borderId="0" xfId="0" applyFill="1" applyAlignment="1">
      <alignment horizontal="left" vertical="top"/>
    </xf>
    <xf numFmtId="0" fontId="15" fillId="0" borderId="0" xfId="0" applyFont="1" applyAlignment="1">
      <alignment vertical="center"/>
    </xf>
    <xf numFmtId="0" fontId="33" fillId="2" borderId="0" xfId="10" applyFont="1" applyFill="1"/>
    <xf numFmtId="1" fontId="65" fillId="2" borderId="0" xfId="0" applyNumberFormat="1" applyFont="1" applyFill="1" applyAlignment="1">
      <alignment vertical="center"/>
    </xf>
    <xf numFmtId="0" fontId="23" fillId="2" borderId="0" xfId="0" applyFont="1" applyFill="1" applyAlignment="1">
      <alignment horizontal="right" vertical="center"/>
    </xf>
    <xf numFmtId="0" fontId="1" fillId="0" borderId="0" xfId="8" applyFont="1"/>
    <xf numFmtId="3" fontId="3" fillId="0" borderId="0" xfId="0" applyNumberFormat="1" applyFont="1" applyAlignment="1">
      <alignment vertical="center"/>
    </xf>
    <xf numFmtId="0" fontId="11" fillId="0" borderId="0" xfId="0" applyFont="1" applyAlignment="1">
      <alignment vertical="center"/>
    </xf>
    <xf numFmtId="0" fontId="74" fillId="2" borderId="8" xfId="0" applyFont="1" applyFill="1" applyBorder="1"/>
    <xf numFmtId="0" fontId="74" fillId="2" borderId="9" xfId="0" applyFont="1" applyFill="1" applyBorder="1"/>
    <xf numFmtId="0" fontId="73" fillId="2" borderId="9" xfId="0" applyFont="1" applyFill="1" applyBorder="1"/>
    <xf numFmtId="0" fontId="73" fillId="2" borderId="9" xfId="0" applyFont="1" applyFill="1" applyBorder="1" applyAlignment="1">
      <alignment horizontal="center"/>
    </xf>
    <xf numFmtId="0" fontId="73" fillId="2" borderId="3" xfId="0" applyFont="1" applyFill="1" applyBorder="1" applyAlignment="1">
      <alignment horizontal="center"/>
    </xf>
    <xf numFmtId="0" fontId="73" fillId="2" borderId="3" xfId="0" applyFont="1" applyFill="1" applyBorder="1"/>
    <xf numFmtId="0" fontId="73" fillId="4" borderId="3" xfId="0" applyFont="1" applyFill="1" applyBorder="1"/>
    <xf numFmtId="0" fontId="73" fillId="2" borderId="0" xfId="0" applyFont="1" applyFill="1"/>
    <xf numFmtId="0" fontId="75" fillId="2" borderId="2" xfId="0" applyFont="1" applyFill="1" applyBorder="1"/>
    <xf numFmtId="0" fontId="75" fillId="2" borderId="10" xfId="0" applyFont="1" applyFill="1" applyBorder="1"/>
    <xf numFmtId="3" fontId="0" fillId="2" borderId="10" xfId="0" applyNumberFormat="1" applyFill="1" applyBorder="1"/>
    <xf numFmtId="0" fontId="0" fillId="2" borderId="10" xfId="0" applyFill="1" applyBorder="1"/>
    <xf numFmtId="3" fontId="0" fillId="2" borderId="10" xfId="0" applyNumberFormat="1" applyFill="1" applyBorder="1" applyAlignment="1">
      <alignment horizontal="center"/>
    </xf>
    <xf numFmtId="0" fontId="0" fillId="4" borderId="0" xfId="0" applyFill="1"/>
    <xf numFmtId="0" fontId="0" fillId="2" borderId="10" xfId="0" applyFill="1" applyBorder="1" applyAlignment="1">
      <alignment horizontal="center"/>
    </xf>
    <xf numFmtId="3" fontId="53" fillId="2" borderId="10" xfId="0" applyNumberFormat="1" applyFont="1" applyFill="1" applyBorder="1" applyAlignment="1">
      <alignment horizontal="center"/>
    </xf>
    <xf numFmtId="1" fontId="0" fillId="2" borderId="10" xfId="0" applyNumberFormat="1" applyFill="1" applyBorder="1" applyAlignment="1">
      <alignment horizontal="center"/>
    </xf>
    <xf numFmtId="0" fontId="53" fillId="5" borderId="10" xfId="0" applyFont="1" applyFill="1" applyBorder="1" applyAlignment="1">
      <alignment horizontal="center"/>
    </xf>
    <xf numFmtId="0" fontId="53" fillId="2" borderId="0" xfId="0" applyFont="1" applyFill="1" applyAlignment="1">
      <alignment horizontal="center"/>
    </xf>
    <xf numFmtId="3" fontId="0" fillId="5" borderId="10" xfId="0" applyNumberFormat="1" applyFill="1" applyBorder="1" applyAlignment="1">
      <alignment horizontal="center"/>
    </xf>
    <xf numFmtId="3" fontId="0" fillId="2" borderId="0" xfId="0" applyNumberFormat="1" applyFill="1" applyAlignment="1">
      <alignment horizontal="center"/>
    </xf>
    <xf numFmtId="0" fontId="0" fillId="0" borderId="0" xfId="0" applyAlignment="1">
      <alignment vertical="center"/>
    </xf>
    <xf numFmtId="0" fontId="10" fillId="2" borderId="0" xfId="8" applyFont="1" applyFill="1"/>
    <xf numFmtId="0" fontId="64" fillId="2" borderId="0" xfId="0" applyFont="1" applyFill="1"/>
    <xf numFmtId="0" fontId="1" fillId="7" borderId="3" xfId="13" applyFont="1" applyFill="1" applyBorder="1"/>
    <xf numFmtId="0" fontId="3" fillId="7" borderId="0" xfId="13" applyFont="1" applyFill="1"/>
    <xf numFmtId="0" fontId="1" fillId="7" borderId="0" xfId="13" applyFont="1" applyFill="1"/>
    <xf numFmtId="0" fontId="3" fillId="2" borderId="0" xfId="13" applyFont="1" applyFill="1"/>
    <xf numFmtId="0" fontId="3" fillId="0" borderId="0" xfId="13" applyFont="1"/>
    <xf numFmtId="0" fontId="6" fillId="2" borderId="0" xfId="8" applyFont="1" applyFill="1" applyAlignment="1">
      <alignment vertical="top"/>
    </xf>
    <xf numFmtId="0" fontId="42" fillId="2" borderId="0" xfId="8" applyFont="1" applyFill="1" applyAlignment="1" applyProtection="1">
      <alignment horizontal="left" vertical="top" wrapText="1"/>
      <protection locked="0"/>
    </xf>
    <xf numFmtId="0" fontId="77" fillId="2" borderId="0" xfId="8" applyFont="1" applyFill="1" applyAlignment="1">
      <alignment vertical="top"/>
    </xf>
    <xf numFmtId="0" fontId="78" fillId="2" borderId="0" xfId="8" applyFont="1" applyFill="1" applyAlignment="1">
      <alignment vertical="top"/>
    </xf>
    <xf numFmtId="0" fontId="15" fillId="3" borderId="0" xfId="8" applyFill="1"/>
    <xf numFmtId="0" fontId="79" fillId="2" borderId="0" xfId="8" applyFont="1" applyFill="1" applyAlignment="1">
      <alignment vertical="center"/>
    </xf>
    <xf numFmtId="0" fontId="79" fillId="2" borderId="0" xfId="8" applyFont="1" applyFill="1"/>
    <xf numFmtId="0" fontId="3" fillId="2" borderId="0" xfId="14" applyFill="1"/>
    <xf numFmtId="0" fontId="80" fillId="2" borderId="0" xfId="14" applyFont="1" applyFill="1" applyAlignment="1">
      <alignment vertical="center"/>
    </xf>
    <xf numFmtId="0" fontId="1" fillId="2" borderId="0" xfId="14" applyFont="1" applyFill="1"/>
    <xf numFmtId="0" fontId="1" fillId="0" borderId="0" xfId="14" applyFont="1"/>
    <xf numFmtId="0" fontId="69" fillId="2" borderId="0" xfId="11" applyFont="1" applyFill="1" applyAlignment="1">
      <alignment horizontal="left" vertical="top"/>
    </xf>
    <xf numFmtId="0" fontId="3" fillId="2" borderId="0" xfId="11" applyFont="1" applyFill="1" applyAlignment="1">
      <alignment wrapText="1"/>
    </xf>
    <xf numFmtId="0" fontId="3" fillId="2" borderId="0" xfId="14" applyFill="1" applyAlignment="1">
      <alignment wrapText="1"/>
    </xf>
    <xf numFmtId="0" fontId="3" fillId="2" borderId="3" xfId="14" applyFill="1" applyBorder="1"/>
    <xf numFmtId="0" fontId="37" fillId="0" borderId="0" xfId="15" applyFont="1" applyAlignment="1">
      <alignment horizontal="center" vertical="center"/>
    </xf>
    <xf numFmtId="0" fontId="3" fillId="2" borderId="0" xfId="15" applyFill="1"/>
    <xf numFmtId="0" fontId="3" fillId="0" borderId="0" xfId="15"/>
    <xf numFmtId="0" fontId="2" fillId="0" borderId="0" xfId="16" applyFill="1" applyAlignment="1" applyProtection="1"/>
    <xf numFmtId="0" fontId="2" fillId="7" borderId="0" xfId="16" applyFill="1" applyAlignment="1" applyProtection="1">
      <alignment vertical="top" wrapText="1"/>
    </xf>
    <xf numFmtId="0" fontId="2" fillId="7" borderId="0" xfId="16" applyNumberFormat="1" applyFill="1" applyAlignment="1" applyProtection="1">
      <alignment horizontal="left" vertical="top" wrapText="1"/>
    </xf>
    <xf numFmtId="0" fontId="2" fillId="7" borderId="0" xfId="1" applyFill="1" applyAlignment="1" applyProtection="1">
      <alignment horizontal="left" vertical="top"/>
    </xf>
    <xf numFmtId="0" fontId="2" fillId="7" borderId="0" xfId="1" applyFill="1" applyAlignment="1" applyProtection="1">
      <alignment horizontal="left" vertical="top" wrapText="1"/>
    </xf>
    <xf numFmtId="0" fontId="2" fillId="7" borderId="0" xfId="16" applyFill="1" applyAlignment="1" applyProtection="1">
      <alignment horizontal="left" vertical="top" wrapText="1"/>
    </xf>
    <xf numFmtId="0" fontId="2" fillId="7" borderId="0" xfId="16" applyFill="1" applyAlignment="1" applyProtection="1">
      <alignment horizontal="left" vertical="top"/>
    </xf>
    <xf numFmtId="0" fontId="15" fillId="2" borderId="0" xfId="0" quotePrefix="1" applyFont="1" applyFill="1" applyAlignment="1">
      <alignment vertical="top" wrapText="1"/>
    </xf>
    <xf numFmtId="0" fontId="60" fillId="2" borderId="0" xfId="8" applyFont="1" applyFill="1" applyAlignment="1">
      <alignment horizontal="center" vertical="top"/>
    </xf>
    <xf numFmtId="0" fontId="3" fillId="2" borderId="0" xfId="8" applyFont="1" applyFill="1" applyAlignment="1">
      <alignment horizontal="left" vertical="center" wrapText="1"/>
    </xf>
    <xf numFmtId="0" fontId="3" fillId="2" borderId="0" xfId="8" applyFont="1" applyFill="1" applyAlignment="1">
      <alignment horizontal="left" vertical="top" wrapText="1"/>
    </xf>
    <xf numFmtId="0" fontId="4" fillId="2" borderId="0" xfId="0" applyFont="1" applyFill="1" applyAlignment="1">
      <alignment vertical="top" wrapText="1"/>
    </xf>
    <xf numFmtId="0" fontId="15" fillId="2" borderId="0" xfId="0" applyFont="1" applyFill="1" applyAlignment="1">
      <alignment vertical="top" wrapText="1"/>
    </xf>
    <xf numFmtId="3" fontId="15" fillId="2" borderId="0" xfId="0" applyNumberFormat="1" applyFont="1" applyFill="1" applyAlignment="1">
      <alignment horizontal="right" vertical="top"/>
    </xf>
    <xf numFmtId="0" fontId="15" fillId="2" borderId="0" xfId="0" applyFont="1" applyFill="1" applyAlignment="1">
      <alignment horizontal="right" vertical="top"/>
    </xf>
    <xf numFmtId="3" fontId="15" fillId="2" borderId="7" xfId="0" applyNumberFormat="1" applyFont="1" applyFill="1" applyBorder="1" applyAlignment="1">
      <alignment horizontal="right" vertical="top"/>
    </xf>
    <xf numFmtId="0" fontId="37" fillId="2" borderId="0" xfId="8" applyFont="1" applyFill="1" applyAlignment="1">
      <alignment horizontal="center" vertical="center"/>
    </xf>
    <xf numFmtId="0" fontId="12" fillId="2" borderId="0" xfId="0" applyFont="1" applyFill="1" applyAlignment="1">
      <alignment horizontal="center"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vertical="center"/>
    </xf>
    <xf numFmtId="0" fontId="12" fillId="2" borderId="0" xfId="0" applyFont="1" applyFill="1" applyAlignment="1">
      <alignment vertical="center" wrapText="1"/>
    </xf>
    <xf numFmtId="0" fontId="12" fillId="2" borderId="3" xfId="0" applyFont="1" applyFill="1" applyBorder="1" applyAlignment="1">
      <alignment vertical="center" wrapText="1"/>
    </xf>
    <xf numFmtId="3" fontId="43" fillId="2" borderId="0" xfId="0" applyNumberFormat="1" applyFont="1" applyFill="1" applyAlignment="1">
      <alignment vertical="center"/>
    </xf>
    <xf numFmtId="0" fontId="64" fillId="0" borderId="0" xfId="0" applyFont="1" applyAlignment="1">
      <alignment vertical="center"/>
    </xf>
    <xf numFmtId="3" fontId="65" fillId="2" borderId="0" xfId="0" applyNumberFormat="1" applyFont="1" applyFill="1" applyAlignment="1">
      <alignment vertical="center"/>
    </xf>
    <xf numFmtId="3" fontId="34" fillId="2" borderId="0" xfId="0" applyNumberFormat="1" applyFont="1" applyFill="1" applyAlignment="1">
      <alignment vertical="center"/>
    </xf>
    <xf numFmtId="3" fontId="14" fillId="2" borderId="0" xfId="0" applyNumberFormat="1" applyFont="1" applyFill="1" applyAlignment="1">
      <alignment vertical="center"/>
    </xf>
    <xf numFmtId="0" fontId="64" fillId="0" borderId="0" xfId="0" applyFont="1"/>
    <xf numFmtId="0" fontId="11" fillId="0" borderId="0" xfId="0" applyFont="1"/>
    <xf numFmtId="0" fontId="83" fillId="2" borderId="0" xfId="0" applyFont="1" applyFill="1" applyAlignment="1">
      <alignment vertical="center"/>
    </xf>
    <xf numFmtId="0" fontId="84" fillId="0" borderId="0" xfId="0" applyFont="1" applyAlignment="1">
      <alignment vertical="center"/>
    </xf>
    <xf numFmtId="0" fontId="4" fillId="2" borderId="0" xfId="0" quotePrefix="1" applyFont="1" applyFill="1" applyAlignment="1">
      <alignment vertical="center"/>
    </xf>
    <xf numFmtId="0" fontId="73" fillId="2" borderId="8" xfId="0" applyFont="1" applyFill="1" applyBorder="1" applyAlignment="1">
      <alignment horizontal="center"/>
    </xf>
    <xf numFmtId="0" fontId="53" fillId="2" borderId="10" xfId="0" applyFont="1" applyFill="1" applyBorder="1" applyAlignment="1">
      <alignment horizontal="center"/>
    </xf>
    <xf numFmtId="0" fontId="14" fillId="2" borderId="0" xfId="0" applyFont="1" applyFill="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 fillId="2" borderId="0" xfId="0" applyFont="1" applyFill="1" applyAlignment="1">
      <alignment horizontal="center" vertical="center"/>
    </xf>
    <xf numFmtId="0" fontId="3" fillId="2" borderId="1" xfId="8" applyFont="1" applyFill="1" applyBorder="1" applyAlignment="1">
      <alignment vertical="top"/>
    </xf>
    <xf numFmtId="0" fontId="61" fillId="0" borderId="0" xfId="8" applyFont="1" applyAlignment="1">
      <alignment vertical="top"/>
    </xf>
    <xf numFmtId="0" fontId="15" fillId="0" borderId="0" xfId="8"/>
    <xf numFmtId="2" fontId="11" fillId="2" borderId="0" xfId="0" applyNumberFormat="1" applyFont="1" applyFill="1" applyAlignment="1">
      <alignment vertical="center"/>
    </xf>
    <xf numFmtId="2" fontId="16" fillId="2" borderId="0" xfId="0" applyNumberFormat="1" applyFont="1" applyFill="1" applyAlignment="1">
      <alignment horizontal="left" vertical="center"/>
    </xf>
    <xf numFmtId="1" fontId="16" fillId="0" borderId="0" xfId="0" applyNumberFormat="1" applyFont="1" applyAlignment="1">
      <alignment horizontal="left" vertical="center"/>
    </xf>
    <xf numFmtId="0" fontId="5" fillId="2" borderId="0" xfId="0" applyFont="1" applyFill="1" applyAlignment="1">
      <alignment vertical="center"/>
    </xf>
    <xf numFmtId="0" fontId="2" fillId="7" borderId="3" xfId="1" applyFill="1" applyBorder="1" applyAlignment="1" applyProtection="1">
      <alignment horizontal="left" vertical="top"/>
    </xf>
    <xf numFmtId="0" fontId="2" fillId="7" borderId="3" xfId="1" applyFill="1" applyBorder="1" applyAlignment="1" applyProtection="1">
      <alignment horizontal="left" vertical="top" wrapText="1"/>
    </xf>
    <xf numFmtId="0" fontId="66" fillId="6" borderId="0" xfId="8" applyFont="1" applyFill="1" applyAlignment="1">
      <alignment horizontal="center" vertical="center"/>
    </xf>
    <xf numFmtId="0" fontId="67" fillId="6" borderId="0" xfId="8" applyFont="1" applyFill="1" applyAlignment="1">
      <alignment horizontal="center" vertical="center"/>
    </xf>
    <xf numFmtId="0" fontId="37" fillId="6" borderId="0" xfId="15" applyFont="1" applyFill="1" applyAlignment="1">
      <alignment horizontal="center" vertical="center"/>
    </xf>
    <xf numFmtId="0" fontId="37" fillId="6" borderId="0" xfId="8" applyFont="1" applyFill="1" applyAlignment="1">
      <alignment horizontal="center" vertical="center"/>
    </xf>
    <xf numFmtId="0" fontId="3" fillId="2" borderId="0" xfId="8" applyFont="1" applyFill="1" applyAlignment="1">
      <alignment horizontal="left" vertical="top" wrapText="1"/>
    </xf>
    <xf numFmtId="0" fontId="37" fillId="6" borderId="0" xfId="8" applyFont="1" applyFill="1" applyAlignment="1">
      <alignment horizontal="center" vertical="center" wrapText="1"/>
    </xf>
    <xf numFmtId="0" fontId="15" fillId="6" borderId="0" xfId="8" applyFill="1" applyAlignment="1">
      <alignment horizontal="center" vertical="center" wrapText="1"/>
    </xf>
    <xf numFmtId="0" fontId="15" fillId="6" borderId="0" xfId="10" applyFill="1" applyAlignment="1">
      <alignment wrapText="1"/>
    </xf>
    <xf numFmtId="0" fontId="60" fillId="2" borderId="0" xfId="10" applyFont="1" applyFill="1" applyAlignment="1">
      <alignment horizontal="center" vertical="top"/>
    </xf>
    <xf numFmtId="0" fontId="60" fillId="2" borderId="0" xfId="8" applyFont="1" applyFill="1" applyAlignment="1">
      <alignment vertical="top" wrapText="1"/>
    </xf>
    <xf numFmtId="0" fontId="3" fillId="2" borderId="0" xfId="8" applyFont="1" applyFill="1" applyAlignment="1">
      <alignment vertical="top" wrapText="1"/>
    </xf>
    <xf numFmtId="0" fontId="2" fillId="2" borderId="0" xfId="1" applyFill="1" applyAlignment="1" applyProtection="1">
      <alignment vertical="top" wrapText="1"/>
    </xf>
    <xf numFmtId="0" fontId="55" fillId="2" borderId="0" xfId="8" applyFont="1" applyFill="1" applyAlignment="1">
      <alignment vertical="top" wrapText="1"/>
    </xf>
    <xf numFmtId="0" fontId="1" fillId="2" borderId="0" xfId="8" applyFont="1" applyFill="1" applyAlignment="1">
      <alignment vertical="top" wrapText="1"/>
    </xf>
    <xf numFmtId="0" fontId="55" fillId="2" borderId="0" xfId="8" applyFont="1" applyFill="1" applyAlignment="1">
      <alignment wrapText="1"/>
    </xf>
    <xf numFmtId="0" fontId="60" fillId="2" borderId="0" xfId="8" applyFont="1" applyFill="1" applyAlignment="1">
      <alignment wrapText="1"/>
    </xf>
    <xf numFmtId="0" fontId="62" fillId="2" borderId="0" xfId="8" applyFont="1" applyFill="1" applyAlignment="1">
      <alignment vertical="top" wrapText="1"/>
    </xf>
    <xf numFmtId="0" fontId="56" fillId="2" borderId="0" xfId="8" applyFont="1" applyFill="1" applyAlignment="1">
      <alignment vertical="top" wrapText="1"/>
    </xf>
    <xf numFmtId="0" fontId="3" fillId="0" borderId="0" xfId="8" applyFont="1" applyAlignment="1">
      <alignment vertical="top" wrapText="1"/>
    </xf>
    <xf numFmtId="0" fontId="37" fillId="6" borderId="0" xfId="14" applyFont="1" applyFill="1" applyAlignment="1">
      <alignment horizontal="center" vertical="center"/>
    </xf>
    <xf numFmtId="0" fontId="5" fillId="2" borderId="5" xfId="0" applyFont="1" applyFill="1" applyBorder="1" applyAlignment="1">
      <alignment horizontal="center" vertical="top"/>
    </xf>
    <xf numFmtId="0" fontId="5" fillId="2" borderId="5" xfId="0" applyFont="1" applyFill="1" applyBorder="1" applyAlignment="1">
      <alignment vertical="top"/>
    </xf>
    <xf numFmtId="0" fontId="5" fillId="2" borderId="5" xfId="0" applyFont="1" applyFill="1" applyBorder="1"/>
    <xf numFmtId="0" fontId="5" fillId="2" borderId="6" xfId="0" applyFont="1" applyFill="1" applyBorder="1" applyAlignment="1">
      <alignment horizontal="center" vertical="top"/>
    </xf>
    <xf numFmtId="0" fontId="15" fillId="2" borderId="0" xfId="0" applyFont="1" applyFill="1" applyAlignment="1">
      <alignment horizontal="center" vertical="top"/>
    </xf>
    <xf numFmtId="0" fontId="13" fillId="2" borderId="0" xfId="0" applyFont="1" applyFill="1" applyAlignment="1">
      <alignment horizontal="center" textRotation="90"/>
    </xf>
    <xf numFmtId="0" fontId="3" fillId="2" borderId="0" xfId="0" applyFont="1" applyFill="1" applyAlignment="1">
      <alignment horizontal="center"/>
    </xf>
    <xf numFmtId="0" fontId="4" fillId="2" borderId="0" xfId="0" applyFont="1" applyFill="1" applyAlignment="1">
      <alignment horizontal="center" textRotation="90"/>
    </xf>
    <xf numFmtId="0" fontId="6" fillId="2" borderId="5" xfId="0" applyFont="1" applyFill="1" applyBorder="1" applyAlignment="1">
      <alignment horizontal="center" vertical="top"/>
    </xf>
    <xf numFmtId="0" fontId="5" fillId="2" borderId="3" xfId="0" applyFont="1" applyFill="1" applyBorder="1" applyAlignment="1">
      <alignment vertical="top"/>
    </xf>
    <xf numFmtId="0" fontId="5" fillId="2" borderId="3" xfId="0" applyFont="1" applyFill="1" applyBorder="1"/>
    <xf numFmtId="0" fontId="5" fillId="2" borderId="3" xfId="0" applyFont="1" applyFill="1" applyBorder="1" applyAlignment="1">
      <alignment horizontal="center" vertical="top"/>
    </xf>
    <xf numFmtId="0" fontId="5" fillId="2" borderId="3" xfId="0" applyFont="1" applyFill="1" applyBorder="1" applyAlignment="1">
      <alignment horizontal="center"/>
    </xf>
    <xf numFmtId="0" fontId="6" fillId="2"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center" vertical="top"/>
    </xf>
    <xf numFmtId="0" fontId="5" fillId="2" borderId="6" xfId="0" applyFont="1" applyFill="1" applyBorder="1" applyAlignment="1">
      <alignment vertical="top"/>
    </xf>
    <xf numFmtId="0" fontId="5" fillId="2" borderId="6" xfId="0" applyFont="1" applyFill="1" applyBorder="1"/>
    <xf numFmtId="0" fontId="32" fillId="2" borderId="0" xfId="0" applyFont="1" applyFill="1" applyAlignment="1">
      <alignment horizontal="center" vertical="center" wrapText="1"/>
    </xf>
    <xf numFmtId="0" fontId="0" fillId="0" borderId="0" xfId="0"/>
    <xf numFmtId="0" fontId="1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3" fillId="2" borderId="0" xfId="0" applyFont="1" applyFill="1" applyAlignment="1">
      <alignment vertical="center" wrapText="1"/>
    </xf>
    <xf numFmtId="0" fontId="0" fillId="0" borderId="0" xfId="0" applyAlignment="1">
      <alignment vertical="center" wrapText="1"/>
    </xf>
    <xf numFmtId="0" fontId="3" fillId="2" borderId="3" xfId="0" applyFont="1" applyFill="1" applyBorder="1" applyAlignment="1">
      <alignment vertical="center" wrapText="1"/>
    </xf>
    <xf numFmtId="0" fontId="0" fillId="0" borderId="3" xfId="0" applyBorder="1" applyAlignment="1">
      <alignment vertical="center" wrapText="1"/>
    </xf>
    <xf numFmtId="0" fontId="3" fillId="2" borderId="1" xfId="0" applyFont="1" applyFill="1" applyBorder="1" applyAlignment="1">
      <alignment vertical="center" wrapText="1"/>
    </xf>
    <xf numFmtId="0" fontId="0" fillId="0" borderId="1" xfId="0" applyBorder="1" applyAlignment="1">
      <alignment vertical="center" wrapText="1"/>
    </xf>
    <xf numFmtId="0" fontId="4"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5" fillId="0" borderId="5" xfId="0" applyFont="1" applyBorder="1" applyAlignment="1">
      <alignment vertical="top"/>
    </xf>
    <xf numFmtId="0" fontId="5" fillId="0" borderId="5" xfId="0" applyFont="1" applyBorder="1"/>
    <xf numFmtId="0" fontId="3" fillId="2" borderId="0" xfId="0" applyFont="1" applyFill="1" applyAlignment="1">
      <alignment vertical="center"/>
    </xf>
    <xf numFmtId="0" fontId="13" fillId="2" borderId="0" xfId="0" applyFont="1" applyFill="1" applyAlignment="1">
      <alignment horizontal="center" vertical="center" wrapText="1"/>
    </xf>
    <xf numFmtId="0" fontId="4" fillId="2" borderId="0" xfId="0" applyFont="1" applyFill="1" applyAlignment="1">
      <alignment horizontal="center" vertical="center"/>
    </xf>
    <xf numFmtId="0" fontId="3" fillId="2" borderId="3" xfId="0" applyFont="1" applyFill="1" applyBorder="1" applyAlignment="1">
      <alignment vertical="center"/>
    </xf>
    <xf numFmtId="0" fontId="13" fillId="2" borderId="0" xfId="0" applyFont="1" applyFill="1" applyAlignment="1">
      <alignment horizontal="center" vertical="center"/>
    </xf>
    <xf numFmtId="0" fontId="3" fillId="2" borderId="0" xfId="0" applyFont="1" applyFill="1" applyAlignment="1">
      <alignment horizontal="center" vertical="center"/>
    </xf>
    <xf numFmtId="0" fontId="0" fillId="0" borderId="0" xfId="0" applyAlignment="1">
      <alignment vertical="center"/>
    </xf>
    <xf numFmtId="0" fontId="4"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3" xfId="0" applyBorder="1" applyAlignment="1">
      <alignment vertical="center"/>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center" wrapText="1"/>
    </xf>
    <xf numFmtId="0" fontId="5" fillId="2" borderId="5" xfId="0" applyFont="1" applyFill="1" applyBorder="1" applyAlignment="1">
      <alignment horizontal="center"/>
    </xf>
    <xf numFmtId="0" fontId="5" fillId="2" borderId="6" xfId="0" applyFont="1" applyFill="1" applyBorder="1" applyAlignment="1">
      <alignment horizontal="center"/>
    </xf>
    <xf numFmtId="0" fontId="6" fillId="2" borderId="0" xfId="0" applyFont="1" applyFill="1" applyAlignment="1">
      <alignment vertical="top"/>
    </xf>
    <xf numFmtId="0" fontId="6" fillId="2" borderId="0" xfId="0" applyFont="1" applyFill="1"/>
    <xf numFmtId="0" fontId="5" fillId="0" borderId="6" xfId="0" applyFont="1" applyBorder="1" applyAlignment="1">
      <alignment horizontal="center" vertical="top"/>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15" fillId="2" borderId="0" xfId="0" applyFont="1" applyFill="1" applyAlignment="1">
      <alignment horizontal="center" vertical="center"/>
    </xf>
    <xf numFmtId="0" fontId="4" fillId="2" borderId="4"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3" xfId="0" applyFont="1" applyFill="1" applyBorder="1" applyAlignment="1">
      <alignment horizontal="center" vertical="center" wrapText="1"/>
    </xf>
    <xf numFmtId="0" fontId="11" fillId="2" borderId="0" xfId="0" applyFont="1" applyFill="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15" fillId="2" borderId="0" xfId="0" applyFont="1" applyFill="1" applyAlignment="1">
      <alignment horizontal="right" vertical="center"/>
    </xf>
    <xf numFmtId="0" fontId="11" fillId="2" borderId="0" xfId="0" applyFont="1" applyFill="1" applyAlignment="1">
      <alignment vertical="center"/>
    </xf>
    <xf numFmtId="0" fontId="4" fillId="2" borderId="0" xfId="0" applyFont="1" applyFill="1" applyAlignment="1">
      <alignment horizontal="right" vertical="center"/>
    </xf>
    <xf numFmtId="0" fontId="7" fillId="2" borderId="0" xfId="0" applyFont="1" applyFill="1" applyAlignment="1">
      <alignment vertical="center"/>
    </xf>
    <xf numFmtId="0" fontId="0" fillId="2" borderId="0" xfId="0" applyFill="1" applyAlignment="1">
      <alignment vertical="center"/>
    </xf>
    <xf numFmtId="0" fontId="11" fillId="2" borderId="3" xfId="0" applyFont="1" applyFill="1" applyBorder="1" applyAlignment="1">
      <alignment horizontal="center" vertical="center"/>
    </xf>
    <xf numFmtId="0" fontId="28" fillId="2" borderId="0" xfId="0" applyFont="1" applyFill="1" applyAlignment="1">
      <alignment vertical="center"/>
    </xf>
    <xf numFmtId="0" fontId="15" fillId="2" borderId="3" xfId="0" applyFont="1" applyFill="1" applyBorder="1" applyAlignment="1">
      <alignment horizontal="center" vertical="center"/>
    </xf>
    <xf numFmtId="0" fontId="7" fillId="2" borderId="4" xfId="0" applyFont="1" applyFill="1" applyBorder="1" applyAlignment="1">
      <alignment vertical="center" wrapText="1"/>
    </xf>
    <xf numFmtId="0" fontId="15" fillId="2" borderId="0" xfId="0" applyFont="1" applyFill="1" applyAlignment="1">
      <alignment horizontal="center" vertical="center" wrapText="1"/>
    </xf>
    <xf numFmtId="0" fontId="7" fillId="2" borderId="4" xfId="0" applyFont="1" applyFill="1" applyBorder="1" applyAlignment="1">
      <alignment vertical="center"/>
    </xf>
    <xf numFmtId="0" fontId="7" fillId="2" borderId="3" xfId="0" applyFont="1" applyFill="1" applyBorder="1" applyAlignment="1">
      <alignment vertical="center" wrapText="1"/>
    </xf>
    <xf numFmtId="0" fontId="28" fillId="2" borderId="4" xfId="0" applyFont="1" applyFill="1" applyBorder="1" applyAlignment="1">
      <alignment vertical="center"/>
    </xf>
    <xf numFmtId="0" fontId="7" fillId="2" borderId="3" xfId="0" applyFont="1" applyFill="1" applyBorder="1" applyAlignment="1">
      <alignment horizontal="center" vertical="center" wrapText="1"/>
    </xf>
    <xf numFmtId="0" fontId="7" fillId="2" borderId="3" xfId="0" applyFont="1" applyFill="1" applyBorder="1" applyAlignment="1">
      <alignment vertical="center"/>
    </xf>
    <xf numFmtId="0" fontId="11" fillId="2" borderId="4" xfId="0" applyFont="1" applyFill="1" applyBorder="1" applyAlignment="1">
      <alignment vertical="center"/>
    </xf>
    <xf numFmtId="0" fontId="12" fillId="2" borderId="0" xfId="0" applyFont="1" applyFill="1" applyAlignment="1">
      <alignment horizontal="center" vertical="center"/>
    </xf>
    <xf numFmtId="0" fontId="16" fillId="2" borderId="0" xfId="0" applyFont="1" applyFill="1" applyAlignment="1">
      <alignment horizontal="left" vertical="top" wrapText="1"/>
    </xf>
    <xf numFmtId="0" fontId="0" fillId="0" borderId="0" xfId="0" applyAlignment="1">
      <alignment horizontal="left" vertical="top" wrapText="1"/>
    </xf>
    <xf numFmtId="0" fontId="12" fillId="2" borderId="3" xfId="0" applyFont="1" applyFill="1" applyBorder="1" applyAlignment="1">
      <alignment horizontal="center" vertical="center"/>
    </xf>
    <xf numFmtId="0" fontId="0" fillId="2" borderId="0" xfId="0" applyFill="1" applyAlignment="1">
      <alignment horizontal="left" vertical="top" wrapText="1"/>
    </xf>
    <xf numFmtId="0" fontId="24" fillId="2" borderId="0" xfId="0" applyFont="1" applyFill="1" applyAlignment="1">
      <alignment horizontal="center" vertical="center"/>
    </xf>
    <xf numFmtId="0" fontId="15" fillId="2" borderId="0" xfId="0" applyFont="1" applyFill="1" applyAlignment="1">
      <alignment vertical="center" wrapText="1"/>
    </xf>
    <xf numFmtId="0" fontId="0" fillId="2" borderId="0" xfId="0" applyFill="1" applyAlignment="1">
      <alignment vertical="center" wrapText="1"/>
    </xf>
    <xf numFmtId="0" fontId="4" fillId="0" borderId="0" xfId="0" applyFont="1" applyAlignment="1">
      <alignment vertical="center" wrapText="1"/>
    </xf>
    <xf numFmtId="0" fontId="70" fillId="0" borderId="0" xfId="0" applyFont="1" applyAlignment="1">
      <alignment vertical="center" wrapText="1"/>
    </xf>
    <xf numFmtId="0" fontId="71" fillId="0" borderId="0" xfId="0" applyFont="1" applyAlignment="1">
      <alignment vertical="center"/>
    </xf>
    <xf numFmtId="0" fontId="13" fillId="2" borderId="3" xfId="0" applyFont="1" applyFill="1" applyBorder="1" applyAlignment="1">
      <alignment horizontal="center" vertical="center"/>
    </xf>
    <xf numFmtId="0" fontId="70" fillId="2" borderId="0" xfId="0" applyFont="1" applyFill="1" applyAlignment="1">
      <alignment vertical="center" wrapText="1"/>
    </xf>
    <xf numFmtId="0" fontId="71" fillId="2" borderId="0" xfId="0" applyFont="1" applyFill="1" applyAlignment="1">
      <alignment vertical="center"/>
    </xf>
    <xf numFmtId="0" fontId="54" fillId="0" borderId="0" xfId="0" applyFont="1" applyAlignment="1">
      <alignment vertical="center" wrapText="1"/>
    </xf>
    <xf numFmtId="0" fontId="24" fillId="2" borderId="3" xfId="0" applyFont="1" applyFill="1" applyBorder="1" applyAlignment="1">
      <alignment horizontal="center" vertical="center"/>
    </xf>
    <xf numFmtId="0" fontId="15" fillId="2" borderId="0" xfId="0" quotePrefix="1" applyFont="1" applyFill="1" applyAlignment="1">
      <alignment vertical="top" wrapText="1"/>
    </xf>
    <xf numFmtId="0" fontId="0" fillId="2" borderId="0" xfId="0" applyFill="1"/>
    <xf numFmtId="0" fontId="10" fillId="2" borderId="3" xfId="0" applyFont="1" applyFill="1" applyBorder="1" applyAlignment="1">
      <alignment horizontal="center" vertical="center"/>
    </xf>
    <xf numFmtId="0" fontId="12" fillId="2" borderId="0" xfId="0" applyFont="1" applyFill="1" applyAlignment="1">
      <alignment horizontal="center" vertical="center" wrapText="1"/>
    </xf>
    <xf numFmtId="0" fontId="32" fillId="2" borderId="0" xfId="0" applyFont="1" applyFill="1" applyAlignment="1">
      <alignment vertical="center" wrapText="1"/>
    </xf>
    <xf numFmtId="0" fontId="32" fillId="2" borderId="0" xfId="0" applyFont="1" applyFill="1" applyAlignment="1">
      <alignment vertical="center"/>
    </xf>
    <xf numFmtId="0" fontId="13" fillId="2" borderId="1" xfId="0" applyFont="1" applyFill="1" applyBorder="1" applyAlignment="1">
      <alignment horizontal="center" vertical="center"/>
    </xf>
    <xf numFmtId="0" fontId="0" fillId="0" borderId="3" xfId="0" applyBorder="1" applyAlignment="1">
      <alignment horizontal="center" vertical="center"/>
    </xf>
    <xf numFmtId="171" fontId="15" fillId="2" borderId="0" xfId="0" applyNumberFormat="1" applyFont="1" applyFill="1" applyAlignment="1">
      <alignment horizontal="center" vertical="center"/>
    </xf>
    <xf numFmtId="0" fontId="15" fillId="2" borderId="0" xfId="0" quotePrefix="1" applyFont="1" applyFill="1" applyAlignment="1">
      <alignment vertical="center" wrapText="1"/>
    </xf>
    <xf numFmtId="0" fontId="4" fillId="2" borderId="0" xfId="0" quotePrefix="1" applyFont="1" applyFill="1" applyAlignment="1">
      <alignment vertical="center" wrapText="1"/>
    </xf>
    <xf numFmtId="0" fontId="54" fillId="2" borderId="3" xfId="0" applyFont="1" applyFill="1" applyBorder="1" applyAlignment="1">
      <alignment horizontal="center" vertical="center"/>
    </xf>
    <xf numFmtId="0" fontId="54" fillId="2" borderId="3" xfId="0" applyFont="1" applyFill="1" applyBorder="1"/>
    <xf numFmtId="0" fontId="0" fillId="0" borderId="3" xfId="0" applyBorder="1"/>
    <xf numFmtId="0" fontId="56" fillId="2" borderId="0" xfId="6" applyFont="1" applyFill="1" applyAlignment="1">
      <alignment vertical="top" wrapText="1"/>
    </xf>
    <xf numFmtId="0" fontId="56" fillId="2" borderId="0" xfId="6" applyFont="1" applyFill="1" applyAlignment="1">
      <alignment wrapText="1"/>
    </xf>
  </cellXfs>
  <cellStyles count="17">
    <cellStyle name="Hyperlänk" xfId="1" builtinId="8"/>
    <cellStyle name="Hyperlänk 2" xfId="3" xr:uid="{00000000-0005-0000-0000-000001000000}"/>
    <cellStyle name="Hyperlänk 2 2" xfId="16" xr:uid="{00000000-0005-0000-0000-000002000000}"/>
    <cellStyle name="Normal" xfId="0" builtinId="0"/>
    <cellStyle name="Normal 2" xfId="2" xr:uid="{00000000-0005-0000-0000-000004000000}"/>
    <cellStyle name="Normal 2 2" xfId="8" xr:uid="{00000000-0005-0000-0000-000005000000}"/>
    <cellStyle name="Normal 3" xfId="6" xr:uid="{00000000-0005-0000-0000-000006000000}"/>
    <cellStyle name="Normal 4" xfId="7" xr:uid="{00000000-0005-0000-0000-000007000000}"/>
    <cellStyle name="Normal 4 2" xfId="15" xr:uid="{00000000-0005-0000-0000-000008000000}"/>
    <cellStyle name="Normal 5" xfId="9" xr:uid="{00000000-0005-0000-0000-000009000000}"/>
    <cellStyle name="Normal 5 2" xfId="10" xr:uid="{00000000-0005-0000-0000-00000A000000}"/>
    <cellStyle name="Normal 5 3" xfId="14" xr:uid="{00000000-0005-0000-0000-00000B000000}"/>
    <cellStyle name="Normal 6" xfId="11" xr:uid="{00000000-0005-0000-0000-00000C000000}"/>
    <cellStyle name="Normal 7" xfId="12" xr:uid="{00000000-0005-0000-0000-00000D000000}"/>
    <cellStyle name="Normal_ADP_0.3_Tabellmall" xfId="13" xr:uid="{00000000-0005-0000-0000-00000E000000}"/>
    <cellStyle name="Procent 2" xfId="4" xr:uid="{00000000-0005-0000-0000-00000F000000}"/>
    <cellStyle name="Tusental" xfId="5" builtinId="3"/>
  </cellStyles>
  <dxfs count="0"/>
  <tableStyles count="0" defaultTableStyle="TableStyleMedium9" defaultPivotStyle="PivotStyleLight16"/>
  <colors>
    <mruColors>
      <color rgb="FFA3D097"/>
      <color rgb="FF67A950"/>
      <color rgb="FF52AF32"/>
      <color rgb="FFFF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4.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34368456686093"/>
          <c:y val="0.13531640635189834"/>
          <c:w val="0.83508127168778146"/>
          <c:h val="0.71627183377386638"/>
        </c:manualLayout>
      </c:layout>
      <c:lineChart>
        <c:grouping val="standard"/>
        <c:varyColors val="0"/>
        <c:ser>
          <c:idx val="2"/>
          <c:order val="0"/>
          <c:tx>
            <c:strRef>
              <c:f>'Data till figurer'!$D$3</c:f>
              <c:strCache>
                <c:ptCount val="1"/>
                <c:pt idx="0">
                  <c:v>Totalt</c:v>
                </c:pt>
              </c:strCache>
            </c:strRef>
          </c:tx>
          <c:spPr>
            <a:ln w="28575" cap="rnd">
              <a:solidFill>
                <a:srgbClr val="52AF32"/>
              </a:solidFill>
              <a:round/>
            </a:ln>
            <a:effectLst/>
          </c:spPr>
          <c:marker>
            <c:symbol val="none"/>
          </c:marke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figurer'!$D$4:$D$40</c:f>
              <c:numCache>
                <c:formatCode>#,##0</c:formatCode>
                <c:ptCount val="37"/>
                <c:pt idx="0">
                  <c:v>11193</c:v>
                </c:pt>
                <c:pt idx="1">
                  <c:v>11050</c:v>
                </c:pt>
                <c:pt idx="2">
                  <c:v>10988</c:v>
                </c:pt>
                <c:pt idx="3">
                  <c:v>10888</c:v>
                </c:pt>
                <c:pt idx="4">
                  <c:v>10803</c:v>
                </c:pt>
                <c:pt idx="5">
                  <c:v>10925</c:v>
                </c:pt>
                <c:pt idx="6">
                  <c:v>10964</c:v>
                </c:pt>
                <c:pt idx="7">
                  <c:v>10941</c:v>
                </c:pt>
                <c:pt idx="8">
                  <c:v>10997</c:v>
                </c:pt>
                <c:pt idx="9">
                  <c:v>11044</c:v>
                </c:pt>
                <c:pt idx="10">
                  <c:v>11037</c:v>
                </c:pt>
                <c:pt idx="11">
                  <c:v>11021</c:v>
                </c:pt>
                <c:pt idx="12">
                  <c:v>11095</c:v>
                </c:pt>
                <c:pt idx="13">
                  <c:v>11037</c:v>
                </c:pt>
                <c:pt idx="14">
                  <c:v>11050</c:v>
                </c:pt>
                <c:pt idx="15">
                  <c:v>11017</c:v>
                </c:pt>
                <c:pt idx="16">
                  <c:v>11020</c:v>
                </c:pt>
                <c:pt idx="17">
                  <c:v>10972</c:v>
                </c:pt>
                <c:pt idx="18">
                  <c:v>11032</c:v>
                </c:pt>
                <c:pt idx="19">
                  <c:v>11149</c:v>
                </c:pt>
                <c:pt idx="20">
                  <c:v>11160</c:v>
                </c:pt>
                <c:pt idx="21">
                  <c:v>11206</c:v>
                </c:pt>
                <c:pt idx="22">
                  <c:v>11136.2</c:v>
                </c:pt>
                <c:pt idx="23">
                  <c:v>10957.2</c:v>
                </c:pt>
                <c:pt idx="24">
                  <c:v>10881.2</c:v>
                </c:pt>
                <c:pt idx="25">
                  <c:v>10908.2</c:v>
                </c:pt>
                <c:pt idx="26">
                  <c:v>10881.746000000001</c:v>
                </c:pt>
                <c:pt idx="27">
                  <c:v>10873.746000000001</c:v>
                </c:pt>
                <c:pt idx="28">
                  <c:v>10905.546</c:v>
                </c:pt>
                <c:pt idx="29">
                  <c:v>10899.005999999999</c:v>
                </c:pt>
                <c:pt idx="30">
                  <c:v>10909.426000000001</c:v>
                </c:pt>
                <c:pt idx="31">
                  <c:v>10912.126</c:v>
                </c:pt>
              </c:numCache>
            </c:numRef>
          </c:val>
          <c:smooth val="0"/>
          <c:extLst>
            <c:ext xmlns:c16="http://schemas.microsoft.com/office/drawing/2014/chart" uri="{C3380CC4-5D6E-409C-BE32-E72D297353CC}">
              <c16:uniqueId val="{00000000-3C3A-429D-9C2F-A40C3BC1B2DF}"/>
            </c:ext>
          </c:extLst>
        </c:ser>
        <c:ser>
          <c:idx val="0"/>
          <c:order val="1"/>
          <c:tx>
            <c:strRef>
              <c:f>'Data till figurer'!$B$3</c:f>
              <c:strCache>
                <c:ptCount val="1"/>
                <c:pt idx="0">
                  <c:v>Dubbel- och flerspår</c:v>
                </c:pt>
              </c:strCache>
            </c:strRef>
          </c:tx>
          <c:spPr>
            <a:ln w="28575" cap="rnd">
              <a:solidFill>
                <a:srgbClr val="52AF32">
                  <a:alpha val="40000"/>
                </a:srgbClr>
              </a:solidFill>
              <a:round/>
            </a:ln>
            <a:effectLst/>
          </c:spPr>
          <c:marker>
            <c:symbol val="none"/>
          </c:marke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figurer'!$B$4:$B$40</c:f>
              <c:numCache>
                <c:formatCode>#,##0</c:formatCode>
                <c:ptCount val="37"/>
                <c:pt idx="0">
                  <c:v>1207</c:v>
                </c:pt>
                <c:pt idx="1">
                  <c:v>1296</c:v>
                </c:pt>
                <c:pt idx="2">
                  <c:v>1314</c:v>
                </c:pt>
                <c:pt idx="3">
                  <c:v>1321</c:v>
                </c:pt>
                <c:pt idx="4">
                  <c:v>1354</c:v>
                </c:pt>
                <c:pt idx="5">
                  <c:v>1449</c:v>
                </c:pt>
                <c:pt idx="6">
                  <c:v>1466</c:v>
                </c:pt>
                <c:pt idx="7">
                  <c:v>1510</c:v>
                </c:pt>
                <c:pt idx="8">
                  <c:v>1535</c:v>
                </c:pt>
                <c:pt idx="9">
                  <c:v>1575</c:v>
                </c:pt>
                <c:pt idx="10">
                  <c:v>1709</c:v>
                </c:pt>
                <c:pt idx="11">
                  <c:v>1719</c:v>
                </c:pt>
                <c:pt idx="12">
                  <c:v>1740</c:v>
                </c:pt>
                <c:pt idx="13">
                  <c:v>1768</c:v>
                </c:pt>
                <c:pt idx="14">
                  <c:v>1793</c:v>
                </c:pt>
                <c:pt idx="15">
                  <c:v>1785</c:v>
                </c:pt>
                <c:pt idx="16">
                  <c:v>1804</c:v>
                </c:pt>
                <c:pt idx="17">
                  <c:v>1807</c:v>
                </c:pt>
                <c:pt idx="18">
                  <c:v>1827</c:v>
                </c:pt>
                <c:pt idx="19">
                  <c:v>1842</c:v>
                </c:pt>
                <c:pt idx="20">
                  <c:v>1865</c:v>
                </c:pt>
                <c:pt idx="21">
                  <c:v>1886</c:v>
                </c:pt>
                <c:pt idx="22">
                  <c:v>1946.6</c:v>
                </c:pt>
                <c:pt idx="23">
                  <c:v>1947.6</c:v>
                </c:pt>
                <c:pt idx="24">
                  <c:v>1949.6</c:v>
                </c:pt>
                <c:pt idx="25">
                  <c:v>1963.6</c:v>
                </c:pt>
                <c:pt idx="26">
                  <c:v>2009.346</c:v>
                </c:pt>
                <c:pt idx="27">
                  <c:v>2036.346</c:v>
                </c:pt>
                <c:pt idx="28">
                  <c:v>2046.046</c:v>
                </c:pt>
                <c:pt idx="29">
                  <c:v>2049.0459999999998</c:v>
                </c:pt>
                <c:pt idx="30">
                  <c:v>2056.2459999999996</c:v>
                </c:pt>
                <c:pt idx="31">
                  <c:v>2058.3559999999998</c:v>
                </c:pt>
              </c:numCache>
            </c:numRef>
          </c:val>
          <c:smooth val="0"/>
          <c:extLst>
            <c:ext xmlns:c16="http://schemas.microsoft.com/office/drawing/2014/chart" uri="{C3380CC4-5D6E-409C-BE32-E72D297353CC}">
              <c16:uniqueId val="{00000001-3C3A-429D-9C2F-A40C3BC1B2DF}"/>
            </c:ext>
          </c:extLst>
        </c:ser>
        <c:ser>
          <c:idx val="1"/>
          <c:order val="2"/>
          <c:tx>
            <c:strRef>
              <c:f>'Data till figurer'!$C$3</c:f>
              <c:strCache>
                <c:ptCount val="1"/>
                <c:pt idx="0">
                  <c:v>Enkelspår</c:v>
                </c:pt>
              </c:strCache>
            </c:strRef>
          </c:tx>
          <c:spPr>
            <a:ln w="28575" cap="rnd">
              <a:solidFill>
                <a:srgbClr val="52AF32">
                  <a:alpha val="60000"/>
                </a:srgbClr>
              </a:solidFill>
              <a:round/>
            </a:ln>
            <a:effectLst/>
          </c:spPr>
          <c:marker>
            <c:symbol val="none"/>
          </c:marke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figurer'!$C$4:$C$40</c:f>
              <c:numCache>
                <c:formatCode>#,##0</c:formatCode>
                <c:ptCount val="37"/>
                <c:pt idx="0">
                  <c:v>9986</c:v>
                </c:pt>
                <c:pt idx="1">
                  <c:v>9754</c:v>
                </c:pt>
                <c:pt idx="2">
                  <c:v>9674</c:v>
                </c:pt>
                <c:pt idx="3">
                  <c:v>9567</c:v>
                </c:pt>
                <c:pt idx="4">
                  <c:v>9449</c:v>
                </c:pt>
                <c:pt idx="5">
                  <c:v>9476</c:v>
                </c:pt>
                <c:pt idx="6">
                  <c:v>9498</c:v>
                </c:pt>
                <c:pt idx="7">
                  <c:v>9431</c:v>
                </c:pt>
                <c:pt idx="8">
                  <c:v>9462</c:v>
                </c:pt>
                <c:pt idx="9">
                  <c:v>9469</c:v>
                </c:pt>
                <c:pt idx="10">
                  <c:v>9328</c:v>
                </c:pt>
                <c:pt idx="11">
                  <c:v>9302</c:v>
                </c:pt>
                <c:pt idx="12">
                  <c:v>9355</c:v>
                </c:pt>
                <c:pt idx="13">
                  <c:v>9269</c:v>
                </c:pt>
                <c:pt idx="14">
                  <c:v>9257</c:v>
                </c:pt>
                <c:pt idx="15">
                  <c:v>9232</c:v>
                </c:pt>
                <c:pt idx="16">
                  <c:v>9216</c:v>
                </c:pt>
                <c:pt idx="17">
                  <c:v>9165</c:v>
                </c:pt>
                <c:pt idx="18">
                  <c:v>9205</c:v>
                </c:pt>
                <c:pt idx="19">
                  <c:v>9307</c:v>
                </c:pt>
                <c:pt idx="20">
                  <c:v>9295</c:v>
                </c:pt>
                <c:pt idx="21">
                  <c:v>9320</c:v>
                </c:pt>
                <c:pt idx="22">
                  <c:v>9189.6</c:v>
                </c:pt>
                <c:pt idx="23">
                  <c:v>9009.6</c:v>
                </c:pt>
                <c:pt idx="24">
                  <c:v>8931.6</c:v>
                </c:pt>
                <c:pt idx="25">
                  <c:v>8944.6</c:v>
                </c:pt>
                <c:pt idx="26">
                  <c:v>8872.4000000000015</c:v>
                </c:pt>
                <c:pt idx="27">
                  <c:v>8837.4000000000015</c:v>
                </c:pt>
                <c:pt idx="28">
                  <c:v>8859.5</c:v>
                </c:pt>
                <c:pt idx="29">
                  <c:v>8849.9599999999991</c:v>
                </c:pt>
                <c:pt idx="30">
                  <c:v>8853.1800000000021</c:v>
                </c:pt>
                <c:pt idx="31">
                  <c:v>8853.77</c:v>
                </c:pt>
              </c:numCache>
            </c:numRef>
          </c:val>
          <c:smooth val="0"/>
          <c:extLst>
            <c:ext xmlns:c16="http://schemas.microsoft.com/office/drawing/2014/chart" uri="{C3380CC4-5D6E-409C-BE32-E72D297353CC}">
              <c16:uniqueId val="{00000002-3C3A-429D-9C2F-A40C3BC1B2DF}"/>
            </c:ext>
          </c:extLst>
        </c:ser>
        <c:dLbls>
          <c:showLegendKey val="0"/>
          <c:showVal val="0"/>
          <c:showCatName val="0"/>
          <c:showSerName val="0"/>
          <c:showPercent val="0"/>
          <c:showBubbleSize val="0"/>
        </c:dLbls>
        <c:smooth val="0"/>
        <c:axId val="316721832"/>
        <c:axId val="316721440"/>
      </c:lineChart>
      <c:dateAx>
        <c:axId val="316721832"/>
        <c:scaling>
          <c:orientation val="minMax"/>
        </c:scaling>
        <c:delete val="0"/>
        <c:axPos val="b"/>
        <c:numFmt formatCode="General" sourceLinked="0"/>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16721440"/>
        <c:crosses val="autoZero"/>
        <c:auto val="0"/>
        <c:lblOffset val="100"/>
        <c:baseTimeUnit val="days"/>
        <c:majorUnit val="1"/>
        <c:majorTimeUnit val="days"/>
      </c:dateAx>
      <c:valAx>
        <c:axId val="316721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31672183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72888267379036"/>
          <c:y val="0.10576248018854316"/>
          <c:w val="0.83347668589334101"/>
          <c:h val="0.73959233955807779"/>
        </c:manualLayout>
      </c:layout>
      <c:areaChart>
        <c:grouping val="stacked"/>
        <c:varyColors val="0"/>
        <c:ser>
          <c:idx val="0"/>
          <c:order val="0"/>
          <c:tx>
            <c:strRef>
              <c:f>'Data till figurer'!$AL$3</c:f>
              <c:strCache>
                <c:ptCount val="1"/>
                <c:pt idx="0">
                  <c:v>Malm på malmbanan</c:v>
                </c:pt>
              </c:strCache>
            </c:strRef>
          </c:tx>
          <c:spPr>
            <a:solidFill>
              <a:srgbClr val="52AF32"/>
            </a:solidFill>
            <a:ln>
              <a:no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figurer'!$AL$11:$AL$40</c:f>
              <c:numCache>
                <c:formatCode>#,##0</c:formatCode>
                <c:ptCount val="30"/>
                <c:pt idx="0">
                  <c:v>3951</c:v>
                </c:pt>
                <c:pt idx="1">
                  <c:v>3854</c:v>
                </c:pt>
                <c:pt idx="2">
                  <c:v>3530</c:v>
                </c:pt>
                <c:pt idx="3">
                  <c:v>3756</c:v>
                </c:pt>
                <c:pt idx="4">
                  <c:v>3647.0990000000002</c:v>
                </c:pt>
                <c:pt idx="5">
                  <c:v>3736.9930000000004</c:v>
                </c:pt>
                <c:pt idx="6">
                  <c:v>4085.75</c:v>
                </c:pt>
                <c:pt idx="7">
                  <c:v>4310.7849999999999</c:v>
                </c:pt>
                <c:pt idx="8">
                  <c:v>4399.8909999999996</c:v>
                </c:pt>
                <c:pt idx="9">
                  <c:v>4518.6578330000002</c:v>
                </c:pt>
                <c:pt idx="10">
                  <c:v>4602.1324119999999</c:v>
                </c:pt>
                <c:pt idx="11">
                  <c:v>4363.3295609999996</c:v>
                </c:pt>
                <c:pt idx="12">
                  <c:v>3416.4251627999997</c:v>
                </c:pt>
                <c:pt idx="13">
                  <c:v>4619.753639999999</c:v>
                </c:pt>
                <c:pt idx="14">
                  <c:v>4669.9259450000009</c:v>
                </c:pt>
                <c:pt idx="15">
                  <c:v>4587.9438603999997</c:v>
                </c:pt>
                <c:pt idx="16">
                  <c:v>4510.8054028000006</c:v>
                </c:pt>
                <c:pt idx="17">
                  <c:v>4503.8373276999992</c:v>
                </c:pt>
                <c:pt idx="18">
                  <c:v>4395.9082094000005</c:v>
                </c:pt>
                <c:pt idx="19">
                  <c:v>4775.0781301999996</c:v>
                </c:pt>
                <c:pt idx="20">
                  <c:v>5093.2667322999987</c:v>
                </c:pt>
                <c:pt idx="21">
                  <c:v>4651.3653973999999</c:v>
                </c:pt>
                <c:pt idx="22">
                  <c:v>4615.2734579999997</c:v>
                </c:pt>
                <c:pt idx="23">
                  <c:v>4654.7358264000004</c:v>
                </c:pt>
                <c:pt idx="24">
                  <c:v>4703.1136186000003</c:v>
                </c:pt>
              </c:numCache>
            </c:numRef>
          </c:val>
          <c:extLst>
            <c:ext xmlns:c16="http://schemas.microsoft.com/office/drawing/2014/chart" uri="{C3380CC4-5D6E-409C-BE32-E72D297353CC}">
              <c16:uniqueId val="{00000000-4CA1-41B5-B1E5-4D7A2D5B8EF4}"/>
            </c:ext>
          </c:extLst>
        </c:ser>
        <c:ser>
          <c:idx val="1"/>
          <c:order val="1"/>
          <c:tx>
            <c:strRef>
              <c:f>'Data till figurer'!$AM$3</c:f>
              <c:strCache>
                <c:ptCount val="1"/>
                <c:pt idx="0">
                  <c:v>Vagnslast</c:v>
                </c:pt>
              </c:strCache>
            </c:strRef>
          </c:tx>
          <c:spPr>
            <a:solidFill>
              <a:srgbClr val="52AF32">
                <a:alpha val="60000"/>
              </a:srgbClr>
            </a:solidFill>
            <a:ln>
              <a:no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figurer'!$AM$11:$AM$40</c:f>
              <c:numCache>
                <c:formatCode>#,##0</c:formatCode>
                <c:ptCount val="30"/>
                <c:pt idx="0">
                  <c:v>12188</c:v>
                </c:pt>
                <c:pt idx="1">
                  <c:v>12205</c:v>
                </c:pt>
                <c:pt idx="2">
                  <c:v>12376</c:v>
                </c:pt>
                <c:pt idx="3">
                  <c:v>13645.513000000001</c:v>
                </c:pt>
                <c:pt idx="4">
                  <c:v>13442.035764</c:v>
                </c:pt>
                <c:pt idx="5">
                  <c:v>12678.650170000001</c:v>
                </c:pt>
                <c:pt idx="6">
                  <c:v>13109.652412999998</c:v>
                </c:pt>
                <c:pt idx="7">
                  <c:v>13225.975885999998</c:v>
                </c:pt>
                <c:pt idx="8">
                  <c:v>13527.084501999998</c:v>
                </c:pt>
                <c:pt idx="9">
                  <c:v>13607.998428299212</c:v>
                </c:pt>
                <c:pt idx="10">
                  <c:v>13978.417238431026</c:v>
                </c:pt>
                <c:pt idx="11">
                  <c:v>13471.226297473009</c:v>
                </c:pt>
                <c:pt idx="12">
                  <c:v>11378.413741508559</c:v>
                </c:pt>
                <c:pt idx="13">
                  <c:v>12889.240122671094</c:v>
                </c:pt>
                <c:pt idx="14">
                  <c:v>12254.452071239335</c:v>
                </c:pt>
                <c:pt idx="15">
                  <c:v>12079.532096244253</c:v>
                </c:pt>
                <c:pt idx="16">
                  <c:v>11585.367613223003</c:v>
                </c:pt>
                <c:pt idx="17">
                  <c:v>11746.56201862335</c:v>
                </c:pt>
                <c:pt idx="18">
                  <c:v>11040.449419115566</c:v>
                </c:pt>
                <c:pt idx="19">
                  <c:v>11661.321945069043</c:v>
                </c:pt>
                <c:pt idx="20">
                  <c:v>11812.197995782111</c:v>
                </c:pt>
                <c:pt idx="21">
                  <c:v>12363.708715902714</c:v>
                </c:pt>
                <c:pt idx="22">
                  <c:v>11671.378920891377</c:v>
                </c:pt>
                <c:pt idx="23">
                  <c:v>11449.564487114018</c:v>
                </c:pt>
                <c:pt idx="24">
                  <c:v>12363.864850469799</c:v>
                </c:pt>
              </c:numCache>
            </c:numRef>
          </c:val>
          <c:extLst>
            <c:ext xmlns:c16="http://schemas.microsoft.com/office/drawing/2014/chart" uri="{C3380CC4-5D6E-409C-BE32-E72D297353CC}">
              <c16:uniqueId val="{00000001-4CA1-41B5-B1E5-4D7A2D5B8EF4}"/>
            </c:ext>
          </c:extLst>
        </c:ser>
        <c:ser>
          <c:idx val="2"/>
          <c:order val="2"/>
          <c:tx>
            <c:strRef>
              <c:f>'Data till figurer'!$AO$3</c:f>
              <c:strCache>
                <c:ptCount val="1"/>
                <c:pt idx="0">
                  <c:v>Kombi - containrar och växelflak</c:v>
                </c:pt>
              </c:strCache>
            </c:strRef>
          </c:tx>
          <c:spPr>
            <a:solidFill>
              <a:srgbClr val="52AF32">
                <a:alpha val="40000"/>
              </a:srgbClr>
            </a:solidFill>
            <a:ln w="25400">
              <a:no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figurer'!$AO$11:$AO$40</c:f>
              <c:numCache>
                <c:formatCode>#,##0</c:formatCode>
                <c:ptCount val="30"/>
                <c:pt idx="0">
                  <c:v>1693.8211690000001</c:v>
                </c:pt>
                <c:pt idx="1">
                  <c:v>1743.6722669999999</c:v>
                </c:pt>
                <c:pt idx="2">
                  <c:v>1884.2817620000003</c:v>
                </c:pt>
                <c:pt idx="3">
                  <c:v>1992.3546809999998</c:v>
                </c:pt>
                <c:pt idx="4">
                  <c:v>1794.0111699999998</c:v>
                </c:pt>
                <c:pt idx="5">
                  <c:v>2044.094272</c:v>
                </c:pt>
                <c:pt idx="6">
                  <c:v>2110.0979296666665</c:v>
                </c:pt>
                <c:pt idx="7">
                  <c:v>2319.4921646064158</c:v>
                </c:pt>
                <c:pt idx="8">
                  <c:v>2680.0943899102322</c:v>
                </c:pt>
                <c:pt idx="9">
                  <c:v>2704.5091056537835</c:v>
                </c:pt>
                <c:pt idx="10">
                  <c:v>3038.440235066349</c:v>
                </c:pt>
                <c:pt idx="11">
                  <c:v>3261.6155022295479</c:v>
                </c:pt>
                <c:pt idx="12">
                  <c:v>3505.4701716039026</c:v>
                </c:pt>
                <c:pt idx="13">
                  <c:v>3414.0191730058941</c:v>
                </c:pt>
                <c:pt idx="14">
                  <c:v>3438.2916804919073</c:v>
                </c:pt>
                <c:pt idx="15">
                  <c:v>3238.0838392296</c:v>
                </c:pt>
                <c:pt idx="16">
                  <c:v>2624.002259293165</c:v>
                </c:pt>
                <c:pt idx="17">
                  <c:v>2678.5933418303835</c:v>
                </c:pt>
                <c:pt idx="18">
                  <c:v>2636.6764824109237</c:v>
                </c:pt>
                <c:pt idx="19">
                  <c:v>2319.5878152035643</c:v>
                </c:pt>
                <c:pt idx="20">
                  <c:v>2438.8236183964832</c:v>
                </c:pt>
                <c:pt idx="21">
                  <c:v>2920.8339098155998</c:v>
                </c:pt>
                <c:pt idx="22">
                  <c:v>2981.2379863161045</c:v>
                </c:pt>
                <c:pt idx="23">
                  <c:v>3527.2623113161521</c:v>
                </c:pt>
                <c:pt idx="24">
                  <c:v>3718.4173389920802</c:v>
                </c:pt>
              </c:numCache>
            </c:numRef>
          </c:val>
          <c:extLst>
            <c:ext xmlns:c16="http://schemas.microsoft.com/office/drawing/2014/chart" uri="{C3380CC4-5D6E-409C-BE32-E72D297353CC}">
              <c16:uniqueId val="{00000002-4CA1-41B5-B1E5-4D7A2D5B8EF4}"/>
            </c:ext>
          </c:extLst>
        </c:ser>
        <c:ser>
          <c:idx val="3"/>
          <c:order val="3"/>
          <c:tx>
            <c:strRef>
              <c:f>'Data till figurer'!$AP$3</c:f>
              <c:strCache>
                <c:ptCount val="1"/>
                <c:pt idx="0">
                  <c:v>Kombi - lastbilar och semitrailers</c:v>
                </c:pt>
              </c:strCache>
            </c:strRef>
          </c:tx>
          <c:spPr>
            <a:solidFill>
              <a:srgbClr val="52AF32">
                <a:alpha val="20000"/>
              </a:srgbClr>
            </a:solidFill>
            <a:ln w="25400">
              <a:no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figurer'!$AP$11:$AP$40</c:f>
              <c:numCache>
                <c:formatCode>#,##0</c:formatCode>
                <c:ptCount val="30"/>
                <c:pt idx="0">
                  <c:v>771.82321800000011</c:v>
                </c:pt>
                <c:pt idx="1">
                  <c:v>794.00548500000002</c:v>
                </c:pt>
                <c:pt idx="2">
                  <c:v>712.30456000000004</c:v>
                </c:pt>
                <c:pt idx="3">
                  <c:v>689.16894400000047</c:v>
                </c:pt>
                <c:pt idx="4">
                  <c:v>664.17500000000018</c:v>
                </c:pt>
                <c:pt idx="5">
                  <c:v>736.90181200000029</c:v>
                </c:pt>
                <c:pt idx="6">
                  <c:v>864.09648600000037</c:v>
                </c:pt>
                <c:pt idx="7">
                  <c:v>999.98373239358398</c:v>
                </c:pt>
                <c:pt idx="8">
                  <c:v>1067.8167855815977</c:v>
                </c:pt>
                <c:pt idx="9">
                  <c:v>1440.2672291462172</c:v>
                </c:pt>
                <c:pt idx="10">
                  <c:v>1631.3182179321452</c:v>
                </c:pt>
                <c:pt idx="11">
                  <c:v>1827.6009235040819</c:v>
                </c:pt>
                <c:pt idx="12">
                  <c:v>2088.4736075032024</c:v>
                </c:pt>
                <c:pt idx="13">
                  <c:v>2540.7666111865929</c:v>
                </c:pt>
                <c:pt idx="14">
                  <c:v>2501.6439776182538</c:v>
                </c:pt>
                <c:pt idx="15">
                  <c:v>2137.0798548805078</c:v>
                </c:pt>
                <c:pt idx="16">
                  <c:v>2249.7992360861867</c:v>
                </c:pt>
                <c:pt idx="17">
                  <c:v>2367.3357309561229</c:v>
                </c:pt>
                <c:pt idx="18">
                  <c:v>2626.2822658096661</c:v>
                </c:pt>
                <c:pt idx="19">
                  <c:v>2649.7677222872703</c:v>
                </c:pt>
                <c:pt idx="20">
                  <c:v>2493.8874184264209</c:v>
                </c:pt>
                <c:pt idx="21">
                  <c:v>2858.398046013484</c:v>
                </c:pt>
                <c:pt idx="22">
                  <c:v>2954.1753092865615</c:v>
                </c:pt>
                <c:pt idx="23">
                  <c:v>2462.3353541844594</c:v>
                </c:pt>
                <c:pt idx="24">
                  <c:v>2663.49135742505</c:v>
                </c:pt>
              </c:numCache>
            </c:numRef>
          </c:val>
          <c:extLst>
            <c:ext xmlns:c16="http://schemas.microsoft.com/office/drawing/2014/chart" uri="{C3380CC4-5D6E-409C-BE32-E72D297353CC}">
              <c16:uniqueId val="{00000003-4CA1-41B5-B1E5-4D7A2D5B8EF4}"/>
            </c:ext>
          </c:extLst>
        </c:ser>
        <c:dLbls>
          <c:showLegendKey val="0"/>
          <c:showVal val="0"/>
          <c:showCatName val="0"/>
          <c:showSerName val="0"/>
          <c:showPercent val="0"/>
          <c:showBubbleSize val="0"/>
        </c:dLbls>
        <c:axId val="526908152"/>
        <c:axId val="613292656"/>
      </c:areaChart>
      <c:dateAx>
        <c:axId val="526908152"/>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13292656"/>
        <c:crosses val="autoZero"/>
        <c:auto val="0"/>
        <c:lblOffset val="100"/>
        <c:baseTimeUnit val="days"/>
      </c:dateAx>
      <c:valAx>
        <c:axId val="6132926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2690815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3381663814722"/>
          <c:y val="0.10576248018854316"/>
          <c:w val="0.81928323852806817"/>
          <c:h val="0.71165688758477263"/>
        </c:manualLayout>
      </c:layout>
      <c:areaChart>
        <c:grouping val="stacked"/>
        <c:varyColors val="0"/>
        <c:ser>
          <c:idx val="0"/>
          <c:order val="0"/>
          <c:tx>
            <c:strRef>
              <c:f>'Data till figurer'!$AR$3</c:f>
              <c:strCache>
                <c:ptCount val="1"/>
                <c:pt idx="0">
                  <c:v>Inland</c:v>
                </c:pt>
              </c:strCache>
            </c:strRef>
          </c:tx>
          <c:spPr>
            <a:solidFill>
              <a:srgbClr val="52AF32"/>
            </a:solidFill>
            <a:ln>
              <a:no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figurer'!$AR$11:$AR$40</c:f>
              <c:numCache>
                <c:formatCode>#,##0</c:formatCode>
                <c:ptCount val="30"/>
                <c:pt idx="0">
                  <c:v>11693</c:v>
                </c:pt>
                <c:pt idx="1">
                  <c:v>11901</c:v>
                </c:pt>
                <c:pt idx="2">
                  <c:v>12036</c:v>
                </c:pt>
                <c:pt idx="3">
                  <c:v>12414.590312</c:v>
                </c:pt>
                <c:pt idx="4">
                  <c:v>12500.712707000001</c:v>
                </c:pt>
                <c:pt idx="5">
                  <c:v>12403.615299000001</c:v>
                </c:pt>
                <c:pt idx="6">
                  <c:v>12856.052976666666</c:v>
                </c:pt>
                <c:pt idx="7">
                  <c:v>13189.780088</c:v>
                </c:pt>
                <c:pt idx="8">
                  <c:v>14124.505315</c:v>
                </c:pt>
                <c:pt idx="9">
                  <c:v>14894.407510158946</c:v>
                </c:pt>
                <c:pt idx="10">
                  <c:v>15681.338482000001</c:v>
                </c:pt>
                <c:pt idx="11">
                  <c:v>15782.458570818171</c:v>
                </c:pt>
                <c:pt idx="12">
                  <c:v>13176.188973210003</c:v>
                </c:pt>
                <c:pt idx="13">
                  <c:v>14828.244206960951</c:v>
                </c:pt>
                <c:pt idx="14">
                  <c:v>14449.170367857991</c:v>
                </c:pt>
                <c:pt idx="15">
                  <c:v>13921.60537846654</c:v>
                </c:pt>
                <c:pt idx="16">
                  <c:v>13128.74926060128</c:v>
                </c:pt>
                <c:pt idx="17">
                  <c:v>13455.720408419855</c:v>
                </c:pt>
                <c:pt idx="18">
                  <c:v>12799.896198274801</c:v>
                </c:pt>
                <c:pt idx="19">
                  <c:v>13044.403905427876</c:v>
                </c:pt>
                <c:pt idx="20">
                  <c:v>13194.789567636635</c:v>
                </c:pt>
                <c:pt idx="21">
                  <c:v>13990.985609092026</c:v>
                </c:pt>
                <c:pt idx="22">
                  <c:v>13572.565699471386</c:v>
                </c:pt>
                <c:pt idx="23">
                  <c:v>14070.90634152641</c:v>
                </c:pt>
                <c:pt idx="24">
                  <c:v>14445.08150090323</c:v>
                </c:pt>
              </c:numCache>
            </c:numRef>
          </c:val>
          <c:extLst>
            <c:ext xmlns:c16="http://schemas.microsoft.com/office/drawing/2014/chart" uri="{C3380CC4-5D6E-409C-BE32-E72D297353CC}">
              <c16:uniqueId val="{00000000-4F17-4FCF-B392-3A94DD616A1D}"/>
            </c:ext>
          </c:extLst>
        </c:ser>
        <c:ser>
          <c:idx val="1"/>
          <c:order val="1"/>
          <c:tx>
            <c:strRef>
              <c:f>'Data till figurer'!$AS$3</c:f>
              <c:strCache>
                <c:ptCount val="1"/>
                <c:pt idx="0">
                  <c:v>Utland</c:v>
                </c:pt>
              </c:strCache>
            </c:strRef>
          </c:tx>
          <c:spPr>
            <a:solidFill>
              <a:srgbClr val="52AF32">
                <a:alpha val="60000"/>
              </a:srgbClr>
            </a:solidFill>
            <a:ln>
              <a:no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figurer'!$AS$11:$AS$40</c:f>
              <c:numCache>
                <c:formatCode>#,##0</c:formatCode>
                <c:ptCount val="30"/>
                <c:pt idx="0">
                  <c:v>7487</c:v>
                </c:pt>
                <c:pt idx="1">
                  <c:v>7261</c:v>
                </c:pt>
                <c:pt idx="2">
                  <c:v>7054</c:v>
                </c:pt>
                <c:pt idx="3">
                  <c:v>7668.4463130000004</c:v>
                </c:pt>
                <c:pt idx="4">
                  <c:v>7046.6082269999988</c:v>
                </c:pt>
                <c:pt idx="5">
                  <c:v>6793.0239550000006</c:v>
                </c:pt>
                <c:pt idx="6">
                  <c:v>7313.5438519999989</c:v>
                </c:pt>
                <c:pt idx="7">
                  <c:v>7666.4566950000008</c:v>
                </c:pt>
                <c:pt idx="8">
                  <c:v>7550.3813624918275</c:v>
                </c:pt>
                <c:pt idx="9">
                  <c:v>7377.0250859402677</c:v>
                </c:pt>
                <c:pt idx="10">
                  <c:v>7568.9696214295163</c:v>
                </c:pt>
                <c:pt idx="11">
                  <c:v>7141.3137133884684</c:v>
                </c:pt>
                <c:pt idx="12">
                  <c:v>7212.5937102056632</c:v>
                </c:pt>
                <c:pt idx="13">
                  <c:v>8635.5353399026299</c:v>
                </c:pt>
                <c:pt idx="14">
                  <c:v>8415.1433064915072</c:v>
                </c:pt>
                <c:pt idx="15">
                  <c:v>8121.0342722878177</c:v>
                </c:pt>
                <c:pt idx="16">
                  <c:v>7841.2252508010697</c:v>
                </c:pt>
                <c:pt idx="17">
                  <c:v>7840.6080106900026</c:v>
                </c:pt>
                <c:pt idx="18">
                  <c:v>7899.4201784613506</c:v>
                </c:pt>
                <c:pt idx="19">
                  <c:v>8361.3517073319963</c:v>
                </c:pt>
                <c:pt idx="20">
                  <c:v>8643.3861972683771</c:v>
                </c:pt>
                <c:pt idx="21">
                  <c:v>8803.320460039773</c:v>
                </c:pt>
                <c:pt idx="22">
                  <c:v>8649.4999750226561</c:v>
                </c:pt>
                <c:pt idx="23">
                  <c:v>8022.9916374882159</c:v>
                </c:pt>
                <c:pt idx="24">
                  <c:v>9003.8056645836987</c:v>
                </c:pt>
              </c:numCache>
            </c:numRef>
          </c:val>
          <c:extLst>
            <c:ext xmlns:c16="http://schemas.microsoft.com/office/drawing/2014/chart" uri="{C3380CC4-5D6E-409C-BE32-E72D297353CC}">
              <c16:uniqueId val="{00000001-4F17-4FCF-B392-3A94DD616A1D}"/>
            </c:ext>
          </c:extLst>
        </c:ser>
        <c:dLbls>
          <c:showLegendKey val="0"/>
          <c:showVal val="0"/>
          <c:showCatName val="0"/>
          <c:showSerName val="0"/>
          <c:showPercent val="0"/>
          <c:showBubbleSize val="0"/>
        </c:dLbls>
        <c:axId val="534739888"/>
        <c:axId val="534739104"/>
      </c:areaChart>
      <c:dateAx>
        <c:axId val="534739888"/>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4739104"/>
        <c:crosses val="autoZero"/>
        <c:auto val="0"/>
        <c:lblOffset val="100"/>
        <c:baseTimeUnit val="days"/>
      </c:dateAx>
      <c:valAx>
        <c:axId val="53473910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473988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76659058937176"/>
          <c:y val="0.10576248018854316"/>
          <c:w val="0.81548817249242511"/>
          <c:h val="0.74355230385717919"/>
        </c:manualLayout>
      </c:layout>
      <c:areaChart>
        <c:grouping val="stacked"/>
        <c:varyColors val="0"/>
        <c:ser>
          <c:idx val="0"/>
          <c:order val="0"/>
          <c:tx>
            <c:strRef>
              <c:f>'Data till figurer'!$AU$3</c:f>
              <c:strCache>
                <c:ptCount val="1"/>
                <c:pt idx="0">
                  <c:v>Inland</c:v>
                </c:pt>
              </c:strCache>
            </c:strRef>
          </c:tx>
          <c:spPr>
            <a:solidFill>
              <a:srgbClr val="52AF32"/>
            </a:solidFill>
            <a:ln>
              <a:no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figurer'!$AU$11:$AU$40</c:f>
              <c:numCache>
                <c:formatCode>#,##0</c:formatCode>
                <c:ptCount val="30"/>
                <c:pt idx="0">
                  <c:v>2090</c:v>
                </c:pt>
                <c:pt idx="1">
                  <c:v>2221</c:v>
                </c:pt>
                <c:pt idx="2">
                  <c:v>2296</c:v>
                </c:pt>
                <c:pt idx="3">
                  <c:v>2377.0003120000001</c:v>
                </c:pt>
                <c:pt idx="4">
                  <c:v>2160.3369429999998</c:v>
                </c:pt>
                <c:pt idx="5">
                  <c:v>2367.5386750000002</c:v>
                </c:pt>
                <c:pt idx="6">
                  <c:v>2496.7207666666668</c:v>
                </c:pt>
                <c:pt idx="7">
                  <c:v>2773.9110589999996</c:v>
                </c:pt>
                <c:pt idx="8">
                  <c:v>3153.4780850000002</c:v>
                </c:pt>
                <c:pt idx="9">
                  <c:v>3390.8223730000004</c:v>
                </c:pt>
                <c:pt idx="10">
                  <c:v>3618.7122810000001</c:v>
                </c:pt>
                <c:pt idx="11">
                  <c:v>3871.2196871181645</c:v>
                </c:pt>
                <c:pt idx="12">
                  <c:v>3599.5893994749999</c:v>
                </c:pt>
                <c:pt idx="13">
                  <c:v>3743.5352238959545</c:v>
                </c:pt>
                <c:pt idx="14">
                  <c:v>3826.3990244284528</c:v>
                </c:pt>
                <c:pt idx="15">
                  <c:v>3545.8177144869442</c:v>
                </c:pt>
                <c:pt idx="16">
                  <c:v>2989.5948993392758</c:v>
                </c:pt>
                <c:pt idx="17">
                  <c:v>3244.5811397545062</c:v>
                </c:pt>
                <c:pt idx="18">
                  <c:v>3514.8673351355901</c:v>
                </c:pt>
                <c:pt idx="19">
                  <c:v>3210.3275122833261</c:v>
                </c:pt>
                <c:pt idx="20">
                  <c:v>3220.9610153095341</c:v>
                </c:pt>
                <c:pt idx="21">
                  <c:v>3573.7642934270257</c:v>
                </c:pt>
                <c:pt idx="22">
                  <c:v>3690.2130755096146</c:v>
                </c:pt>
                <c:pt idx="23">
                  <c:v>4283.4072274626487</c:v>
                </c:pt>
                <c:pt idx="24">
                  <c:v>4138.6586662665104</c:v>
                </c:pt>
              </c:numCache>
            </c:numRef>
          </c:val>
          <c:extLst>
            <c:ext xmlns:c16="http://schemas.microsoft.com/office/drawing/2014/chart" uri="{C3380CC4-5D6E-409C-BE32-E72D297353CC}">
              <c16:uniqueId val="{00000000-458E-44B8-9E41-284A9A5F1D1A}"/>
            </c:ext>
          </c:extLst>
        </c:ser>
        <c:ser>
          <c:idx val="1"/>
          <c:order val="1"/>
          <c:tx>
            <c:strRef>
              <c:f>'Data till figurer'!$AV$3</c:f>
              <c:strCache>
                <c:ptCount val="1"/>
                <c:pt idx="0">
                  <c:v>Utland</c:v>
                </c:pt>
              </c:strCache>
            </c:strRef>
          </c:tx>
          <c:spPr>
            <a:solidFill>
              <a:srgbClr val="52AF32">
                <a:alpha val="60000"/>
              </a:srgbClr>
            </a:solidFill>
            <a:ln>
              <a:no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figurer'!$AV$11:$AV$40</c:f>
              <c:numCache>
                <c:formatCode>#,##0</c:formatCode>
                <c:ptCount val="30"/>
                <c:pt idx="0">
                  <c:v>375</c:v>
                </c:pt>
                <c:pt idx="1">
                  <c:v>317</c:v>
                </c:pt>
                <c:pt idx="2">
                  <c:v>301</c:v>
                </c:pt>
                <c:pt idx="3">
                  <c:v>304.52331299999997</c:v>
                </c:pt>
                <c:pt idx="4">
                  <c:v>297.84922700000004</c:v>
                </c:pt>
                <c:pt idx="5">
                  <c:v>413.45740900000004</c:v>
                </c:pt>
                <c:pt idx="6">
                  <c:v>477.47364899999997</c:v>
                </c:pt>
                <c:pt idx="7">
                  <c:v>545.56483800000012</c:v>
                </c:pt>
                <c:pt idx="8">
                  <c:v>594.43309049182983</c:v>
                </c:pt>
                <c:pt idx="9">
                  <c:v>753.95396180000012</c:v>
                </c:pt>
                <c:pt idx="10">
                  <c:v>1051.0461719984946</c:v>
                </c:pt>
                <c:pt idx="11">
                  <c:v>1217.9967386154653</c:v>
                </c:pt>
                <c:pt idx="12">
                  <c:v>1994.3543796321051</c:v>
                </c:pt>
                <c:pt idx="13">
                  <c:v>2211.2505602965325</c:v>
                </c:pt>
                <c:pt idx="14">
                  <c:v>2113.5366336817083</c:v>
                </c:pt>
                <c:pt idx="15">
                  <c:v>1829.3459796231632</c:v>
                </c:pt>
                <c:pt idx="16">
                  <c:v>1884.206596040076</c:v>
                </c:pt>
                <c:pt idx="17">
                  <c:v>1801.3479330319999</c:v>
                </c:pt>
                <c:pt idx="18">
                  <c:v>1748.0914130849999</c:v>
                </c:pt>
                <c:pt idx="19">
                  <c:v>1759.0280252075088</c:v>
                </c:pt>
                <c:pt idx="20">
                  <c:v>1711.7500215133703</c:v>
                </c:pt>
                <c:pt idx="21">
                  <c:v>2205.4676624020581</c:v>
                </c:pt>
                <c:pt idx="22">
                  <c:v>2245.2002200930519</c:v>
                </c:pt>
                <c:pt idx="23">
                  <c:v>1706.1904380379628</c:v>
                </c:pt>
                <c:pt idx="24">
                  <c:v>2243.2500301506202</c:v>
                </c:pt>
              </c:numCache>
            </c:numRef>
          </c:val>
          <c:extLst>
            <c:ext xmlns:c16="http://schemas.microsoft.com/office/drawing/2014/chart" uri="{C3380CC4-5D6E-409C-BE32-E72D297353CC}">
              <c16:uniqueId val="{00000001-458E-44B8-9E41-284A9A5F1D1A}"/>
            </c:ext>
          </c:extLst>
        </c:ser>
        <c:dLbls>
          <c:showLegendKey val="0"/>
          <c:showVal val="0"/>
          <c:showCatName val="0"/>
          <c:showSerName val="0"/>
          <c:showPercent val="0"/>
          <c:showBubbleSize val="0"/>
        </c:dLbls>
        <c:axId val="534738320"/>
        <c:axId val="488103872"/>
      </c:areaChart>
      <c:dateAx>
        <c:axId val="534738320"/>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488103872"/>
        <c:crosses val="autoZero"/>
        <c:auto val="0"/>
        <c:lblOffset val="100"/>
        <c:baseTimeUnit val="days"/>
      </c:dateAx>
      <c:valAx>
        <c:axId val="48810387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47383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3381663814722"/>
          <c:y val="0.10576248018854316"/>
          <c:w val="0.83474170790522206"/>
          <c:h val="0.73731896705113509"/>
        </c:manualLayout>
      </c:layout>
      <c:areaChart>
        <c:grouping val="stacked"/>
        <c:varyColors val="0"/>
        <c:ser>
          <c:idx val="0"/>
          <c:order val="0"/>
          <c:tx>
            <c:strRef>
              <c:f>'Data till figurer'!$BB$3</c:f>
              <c:strCache>
                <c:ptCount val="1"/>
                <c:pt idx="0">
                  <c:v>Regional trafik(miljoner pkm)</c:v>
                </c:pt>
              </c:strCache>
            </c:strRef>
          </c:tx>
          <c:spPr>
            <a:solidFill>
              <a:srgbClr val="52AF32"/>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figurer'!$BB$4:$BB$40</c:f>
              <c:numCache>
                <c:formatCode>#,##0</c:formatCode>
                <c:ptCount val="37"/>
                <c:pt idx="0">
                  <c:v>1978</c:v>
                </c:pt>
                <c:pt idx="1">
                  <c:v>1914</c:v>
                </c:pt>
                <c:pt idx="2">
                  <c:v>2021</c:v>
                </c:pt>
                <c:pt idx="3">
                  <c:v>2098</c:v>
                </c:pt>
                <c:pt idx="4">
                  <c:v>2127</c:v>
                </c:pt>
                <c:pt idx="5">
                  <c:v>2241</c:v>
                </c:pt>
                <c:pt idx="6">
                  <c:v>2339</c:v>
                </c:pt>
                <c:pt idx="7">
                  <c:v>2558</c:v>
                </c:pt>
                <c:pt idx="8">
                  <c:v>2651</c:v>
                </c:pt>
                <c:pt idx="9">
                  <c:v>2812</c:v>
                </c:pt>
                <c:pt idx="10">
                  <c:v>3009.2469999999998</c:v>
                </c:pt>
                <c:pt idx="11">
                  <c:v>3191.2594999999997</c:v>
                </c:pt>
                <c:pt idx="12">
                  <c:v>3323.6</c:v>
                </c:pt>
                <c:pt idx="13">
                  <c:v>3397.9959653326532</c:v>
                </c:pt>
                <c:pt idx="14">
                  <c:v>3445.6951726784346</c:v>
                </c:pt>
                <c:pt idx="15">
                  <c:v>3723.4940000000001</c:v>
                </c:pt>
                <c:pt idx="16">
                  <c:v>3936.4919629629626</c:v>
                </c:pt>
                <c:pt idx="17">
                  <c:v>4233.1000000000004</c:v>
                </c:pt>
                <c:pt idx="18">
                  <c:v>4664.660141450252</c:v>
                </c:pt>
                <c:pt idx="19">
                  <c:v>4876.8581458172803</c:v>
                </c:pt>
                <c:pt idx="20">
                  <c:v>5047.079999999999</c:v>
                </c:pt>
                <c:pt idx="21">
                  <c:v>5184.3911050142588</c:v>
                </c:pt>
                <c:pt idx="22">
                  <c:v>5535.4518477769479</c:v>
                </c:pt>
                <c:pt idx="23">
                  <c:v>5733.2901064768421</c:v>
                </c:pt>
                <c:pt idx="24">
                  <c:v>5914.6483578056141</c:v>
                </c:pt>
                <c:pt idx="25">
                  <c:v>6121.1604908284298</c:v>
                </c:pt>
                <c:pt idx="26">
                  <c:v>6151.9518630371695</c:v>
                </c:pt>
                <c:pt idx="27">
                  <c:v>6350.7371180672908</c:v>
                </c:pt>
                <c:pt idx="28">
                  <c:v>6520.5203691610113</c:v>
                </c:pt>
                <c:pt idx="29">
                  <c:v>7229.7788959541804</c:v>
                </c:pt>
                <c:pt idx="30">
                  <c:v>4527.436875669825</c:v>
                </c:pt>
                <c:pt idx="31">
                  <c:v>4275.3578441775808</c:v>
                </c:pt>
              </c:numCache>
            </c:numRef>
          </c:val>
          <c:extLst>
            <c:ext xmlns:c16="http://schemas.microsoft.com/office/drawing/2014/chart" uri="{C3380CC4-5D6E-409C-BE32-E72D297353CC}">
              <c16:uniqueId val="{00000000-06B2-47E9-B33B-EBEE53199B77}"/>
            </c:ext>
          </c:extLst>
        </c:ser>
        <c:ser>
          <c:idx val="1"/>
          <c:order val="1"/>
          <c:tx>
            <c:strRef>
              <c:f>'Data till figurer'!$BC$3</c:f>
              <c:strCache>
                <c:ptCount val="1"/>
                <c:pt idx="0">
                  <c:v>Långväga trafik(miljoner pkm)</c:v>
                </c:pt>
              </c:strCache>
            </c:strRef>
          </c:tx>
          <c:spPr>
            <a:solidFill>
              <a:srgbClr val="52AF32">
                <a:alpha val="60000"/>
              </a:srgbClr>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figurer'!$BC$4:$BC$40</c:f>
              <c:numCache>
                <c:formatCode>#,##0</c:formatCode>
                <c:ptCount val="37"/>
                <c:pt idx="0">
                  <c:v>4622</c:v>
                </c:pt>
                <c:pt idx="1">
                  <c:v>4071</c:v>
                </c:pt>
                <c:pt idx="2">
                  <c:v>3942</c:v>
                </c:pt>
                <c:pt idx="3">
                  <c:v>4324</c:v>
                </c:pt>
                <c:pt idx="4">
                  <c:v>4380</c:v>
                </c:pt>
                <c:pt idx="5">
                  <c:v>4591</c:v>
                </c:pt>
                <c:pt idx="6">
                  <c:v>4614</c:v>
                </c:pt>
                <c:pt idx="7">
                  <c:v>4464</c:v>
                </c:pt>
                <c:pt idx="8">
                  <c:v>4560</c:v>
                </c:pt>
                <c:pt idx="9">
                  <c:v>4889</c:v>
                </c:pt>
                <c:pt idx="10">
                  <c:v>5233.9475000000002</c:v>
                </c:pt>
                <c:pt idx="11">
                  <c:v>5540.5</c:v>
                </c:pt>
                <c:pt idx="12">
                  <c:v>5550.6</c:v>
                </c:pt>
                <c:pt idx="13">
                  <c:v>5435.6</c:v>
                </c:pt>
                <c:pt idx="14">
                  <c:v>5212.13</c:v>
                </c:pt>
                <c:pt idx="15">
                  <c:v>5212.5639999999985</c:v>
                </c:pt>
                <c:pt idx="16">
                  <c:v>5680.3498421052645</c:v>
                </c:pt>
                <c:pt idx="17">
                  <c:v>6027.4410000000007</c:v>
                </c:pt>
                <c:pt idx="18">
                  <c:v>6481.5608585497494</c:v>
                </c:pt>
                <c:pt idx="19">
                  <c:v>6444.4753421827181</c:v>
                </c:pt>
                <c:pt idx="20">
                  <c:v>6108.3396630000016</c:v>
                </c:pt>
                <c:pt idx="21">
                  <c:v>6193.9852390000042</c:v>
                </c:pt>
                <c:pt idx="22">
                  <c:v>6256.6861584135977</c:v>
                </c:pt>
                <c:pt idx="23">
                  <c:v>6108.3746144055249</c:v>
                </c:pt>
                <c:pt idx="24">
                  <c:v>6206.5291468511132</c:v>
                </c:pt>
                <c:pt idx="25">
                  <c:v>6528.7832856290861</c:v>
                </c:pt>
                <c:pt idx="26">
                  <c:v>6648.3596210830201</c:v>
                </c:pt>
                <c:pt idx="27">
                  <c:v>6979.8752674023144</c:v>
                </c:pt>
                <c:pt idx="28">
                  <c:v>7026.2778780944554</c:v>
                </c:pt>
                <c:pt idx="29">
                  <c:v>7387.42833816646</c:v>
                </c:pt>
                <c:pt idx="30">
                  <c:v>3601.3077890217737</c:v>
                </c:pt>
                <c:pt idx="31">
                  <c:v>3752.1314533725717</c:v>
                </c:pt>
              </c:numCache>
            </c:numRef>
          </c:val>
          <c:extLst>
            <c:ext xmlns:c16="http://schemas.microsoft.com/office/drawing/2014/chart" uri="{C3380CC4-5D6E-409C-BE32-E72D297353CC}">
              <c16:uniqueId val="{00000001-06B2-47E9-B33B-EBEE53199B77}"/>
            </c:ext>
          </c:extLst>
        </c:ser>
        <c:dLbls>
          <c:showLegendKey val="0"/>
          <c:showVal val="0"/>
          <c:showCatName val="0"/>
          <c:showSerName val="0"/>
          <c:showPercent val="0"/>
          <c:showBubbleSize val="0"/>
        </c:dLbls>
        <c:axId val="488106224"/>
        <c:axId val="488105048"/>
      </c:areaChart>
      <c:dateAx>
        <c:axId val="488106224"/>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488105048"/>
        <c:crosses val="autoZero"/>
        <c:auto val="0"/>
        <c:lblOffset val="100"/>
        <c:baseTimeUnit val="days"/>
        <c:majorUnit val="1"/>
        <c:majorTimeUnit val="days"/>
      </c:dateAx>
      <c:valAx>
        <c:axId val="48810504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48810622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91143650620446"/>
          <c:y val="0.10576248018854316"/>
          <c:w val="0.82560834858747345"/>
          <c:h val="0.72991206881552284"/>
        </c:manualLayout>
      </c:layout>
      <c:areaChart>
        <c:grouping val="stacked"/>
        <c:varyColors val="0"/>
        <c:ser>
          <c:idx val="0"/>
          <c:order val="0"/>
          <c:tx>
            <c:strRef>
              <c:f>'Data till figurer'!$BH$3</c:f>
              <c:strCache>
                <c:ptCount val="1"/>
                <c:pt idx="0">
                  <c:v>Personkilometer (miljoner) Spårväg</c:v>
                </c:pt>
              </c:strCache>
            </c:strRef>
          </c:tx>
          <c:spPr>
            <a:solidFill>
              <a:srgbClr val="52AF32"/>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figurer'!$BH$4:$BH$40</c:f>
              <c:numCache>
                <c:formatCode>#,##0</c:formatCode>
                <c:ptCount val="37"/>
                <c:pt idx="0">
                  <c:v>330</c:v>
                </c:pt>
                <c:pt idx="1">
                  <c:v>329</c:v>
                </c:pt>
                <c:pt idx="2">
                  <c:v>328</c:v>
                </c:pt>
                <c:pt idx="3">
                  <c:v>327</c:v>
                </c:pt>
                <c:pt idx="4">
                  <c:v>346</c:v>
                </c:pt>
                <c:pt idx="5">
                  <c:v>366</c:v>
                </c:pt>
                <c:pt idx="6">
                  <c:v>375</c:v>
                </c:pt>
                <c:pt idx="7">
                  <c:v>376</c:v>
                </c:pt>
                <c:pt idx="8">
                  <c:v>375</c:v>
                </c:pt>
                <c:pt idx="9">
                  <c:v>381</c:v>
                </c:pt>
                <c:pt idx="10">
                  <c:v>393.90000000000003</c:v>
                </c:pt>
                <c:pt idx="11">
                  <c:v>410.29999999999995</c:v>
                </c:pt>
                <c:pt idx="12">
                  <c:v>414.6263568774977</c:v>
                </c:pt>
                <c:pt idx="13">
                  <c:v>435.76199999999994</c:v>
                </c:pt>
                <c:pt idx="14">
                  <c:v>462.21199999999999</c:v>
                </c:pt>
                <c:pt idx="15">
                  <c:v>473.03200000000004</c:v>
                </c:pt>
                <c:pt idx="16">
                  <c:v>482.10500000000002</c:v>
                </c:pt>
                <c:pt idx="17">
                  <c:v>513.94500000000005</c:v>
                </c:pt>
                <c:pt idx="18">
                  <c:v>524.27</c:v>
                </c:pt>
                <c:pt idx="19">
                  <c:v>524.48800000000006</c:v>
                </c:pt>
                <c:pt idx="20">
                  <c:v>547.80000000000007</c:v>
                </c:pt>
                <c:pt idx="21">
                  <c:v>615.20000000000005</c:v>
                </c:pt>
                <c:pt idx="22">
                  <c:v>577.19999999999993</c:v>
                </c:pt>
                <c:pt idx="23">
                  <c:v>608.11764432647658</c:v>
                </c:pt>
                <c:pt idx="24">
                  <c:v>594.9</c:v>
                </c:pt>
                <c:pt idx="25">
                  <c:v>607.79999999999995</c:v>
                </c:pt>
                <c:pt idx="26">
                  <c:v>654.65595000000008</c:v>
                </c:pt>
                <c:pt idx="27">
                  <c:v>667.60500000000002</c:v>
                </c:pt>
                <c:pt idx="28">
                  <c:v>745.5</c:v>
                </c:pt>
                <c:pt idx="29">
                  <c:v>809.35799999999995</c:v>
                </c:pt>
                <c:pt idx="30">
                  <c:v>536.65980999999988</c:v>
                </c:pt>
                <c:pt idx="31">
                  <c:v>455.43210000000005</c:v>
                </c:pt>
              </c:numCache>
            </c:numRef>
          </c:val>
          <c:extLst>
            <c:ext xmlns:c16="http://schemas.microsoft.com/office/drawing/2014/chart" uri="{C3380CC4-5D6E-409C-BE32-E72D297353CC}">
              <c16:uniqueId val="{00000000-5653-45FA-B210-540EA7FD47F2}"/>
            </c:ext>
          </c:extLst>
        </c:ser>
        <c:dLbls>
          <c:showLegendKey val="0"/>
          <c:showVal val="0"/>
          <c:showCatName val="0"/>
          <c:showSerName val="0"/>
          <c:showPercent val="0"/>
          <c:showBubbleSize val="0"/>
        </c:dLbls>
        <c:axId val="273033416"/>
        <c:axId val="273034592"/>
      </c:areaChart>
      <c:dateAx>
        <c:axId val="273033416"/>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273034592"/>
        <c:crosses val="autoZero"/>
        <c:auto val="0"/>
        <c:lblOffset val="100"/>
        <c:baseTimeUnit val="days"/>
        <c:majorUnit val="1"/>
        <c:majorTimeUnit val="days"/>
      </c:dateAx>
      <c:valAx>
        <c:axId val="27303459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27303341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0650254184758"/>
          <c:y val="0.10576248018854316"/>
          <c:w val="0.82940341462311651"/>
          <c:h val="0.74355230385717919"/>
        </c:manualLayout>
      </c:layout>
      <c:areaChart>
        <c:grouping val="stacked"/>
        <c:varyColors val="0"/>
        <c:ser>
          <c:idx val="0"/>
          <c:order val="0"/>
          <c:tx>
            <c:strRef>
              <c:f>'Data till figurer'!$BJ$3</c:f>
              <c:strCache>
                <c:ptCount val="1"/>
                <c:pt idx="0">
                  <c:v>Personkilometer (miljoner) Tunnelbana</c:v>
                </c:pt>
              </c:strCache>
            </c:strRef>
          </c:tx>
          <c:spPr>
            <a:solidFill>
              <a:srgbClr val="52AF32"/>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figurer'!$BJ$4:$BJ$40</c:f>
              <c:numCache>
                <c:formatCode>#,##0</c:formatCode>
                <c:ptCount val="37"/>
                <c:pt idx="0">
                  <c:v>1507</c:v>
                </c:pt>
                <c:pt idx="1">
                  <c:v>1410</c:v>
                </c:pt>
                <c:pt idx="2">
                  <c:v>1408</c:v>
                </c:pt>
                <c:pt idx="3">
                  <c:v>1407</c:v>
                </c:pt>
                <c:pt idx="4">
                  <c:v>1391</c:v>
                </c:pt>
                <c:pt idx="5">
                  <c:v>1441</c:v>
                </c:pt>
                <c:pt idx="6">
                  <c:v>1481</c:v>
                </c:pt>
                <c:pt idx="7">
                  <c:v>1496</c:v>
                </c:pt>
                <c:pt idx="8">
                  <c:v>1505</c:v>
                </c:pt>
                <c:pt idx="9">
                  <c:v>1526</c:v>
                </c:pt>
                <c:pt idx="10">
                  <c:v>1588</c:v>
                </c:pt>
                <c:pt idx="11">
                  <c:v>1581</c:v>
                </c:pt>
                <c:pt idx="12">
                  <c:v>1578</c:v>
                </c:pt>
                <c:pt idx="13">
                  <c:v>1558</c:v>
                </c:pt>
                <c:pt idx="14">
                  <c:v>1556</c:v>
                </c:pt>
                <c:pt idx="15">
                  <c:v>1541</c:v>
                </c:pt>
                <c:pt idx="16">
                  <c:v>1657</c:v>
                </c:pt>
                <c:pt idx="17">
                  <c:v>1690</c:v>
                </c:pt>
                <c:pt idx="18">
                  <c:v>1715</c:v>
                </c:pt>
                <c:pt idx="19">
                  <c:v>1715</c:v>
                </c:pt>
                <c:pt idx="20">
                  <c:v>1731</c:v>
                </c:pt>
                <c:pt idx="21">
                  <c:v>1725</c:v>
                </c:pt>
                <c:pt idx="22">
                  <c:v>1796</c:v>
                </c:pt>
                <c:pt idx="23">
                  <c:v>1841</c:v>
                </c:pt>
                <c:pt idx="24">
                  <c:v>1848</c:v>
                </c:pt>
                <c:pt idx="25">
                  <c:v>1892</c:v>
                </c:pt>
                <c:pt idx="26">
                  <c:v>1953</c:v>
                </c:pt>
                <c:pt idx="27">
                  <c:v>1979</c:v>
                </c:pt>
                <c:pt idx="28">
                  <c:v>1991</c:v>
                </c:pt>
                <c:pt idx="29">
                  <c:v>1895</c:v>
                </c:pt>
                <c:pt idx="30">
                  <c:v>1151</c:v>
                </c:pt>
                <c:pt idx="31">
                  <c:v>1137</c:v>
                </c:pt>
              </c:numCache>
            </c:numRef>
          </c:val>
          <c:extLst>
            <c:ext xmlns:c16="http://schemas.microsoft.com/office/drawing/2014/chart" uri="{C3380CC4-5D6E-409C-BE32-E72D297353CC}">
              <c16:uniqueId val="{00000000-041A-4510-816A-8E6F7D0CAD0D}"/>
            </c:ext>
          </c:extLst>
        </c:ser>
        <c:dLbls>
          <c:showLegendKey val="0"/>
          <c:showVal val="0"/>
          <c:showCatName val="0"/>
          <c:showSerName val="0"/>
          <c:showPercent val="0"/>
          <c:showBubbleSize val="0"/>
        </c:dLbls>
        <c:axId val="273035376"/>
        <c:axId val="273035768"/>
      </c:areaChart>
      <c:dateAx>
        <c:axId val="273035376"/>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273035768"/>
        <c:crosses val="autoZero"/>
        <c:auto val="0"/>
        <c:lblOffset val="100"/>
        <c:baseTimeUnit val="days"/>
        <c:majorUnit val="1"/>
        <c:majorTimeUnit val="days"/>
      </c:dateAx>
      <c:valAx>
        <c:axId val="2730357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27303537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5239487094335"/>
          <c:y val="0.10576248018854316"/>
          <c:w val="0.78386262219539882"/>
          <c:h val="0.75237155713844339"/>
        </c:manualLayout>
      </c:layout>
      <c:lineChart>
        <c:grouping val="standard"/>
        <c:varyColors val="0"/>
        <c:ser>
          <c:idx val="0"/>
          <c:order val="0"/>
          <c:tx>
            <c:strRef>
              <c:f>'Data till figurer'!$BL$3</c:f>
              <c:strCache>
                <c:ptCount val="1"/>
                <c:pt idx="0">
                  <c:v>Danmark (milj. tonkm)</c:v>
                </c:pt>
              </c:strCache>
            </c:strRef>
          </c:tx>
          <c:spPr>
            <a:ln w="28575" cap="rnd">
              <a:solidFill>
                <a:srgbClr val="52AF32">
                  <a:alpha val="80000"/>
                </a:srgbClr>
              </a:solidFill>
              <a:round/>
            </a:ln>
            <a:effectLst/>
          </c:spPr>
          <c:marker>
            <c:symbol val="none"/>
          </c:marker>
          <c:cat>
            <c:numRef>
              <c:f>'Data till figurer'!$A$17:$A$40</c:f>
              <c:numCache>
                <c:formatCode>General</c:formatCod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'Data till figurer'!$BL$17:$BL$40</c:f>
              <c:numCache>
                <c:formatCode>#,##0</c:formatCode>
                <c:ptCount val="24"/>
                <c:pt idx="0">
                  <c:v>1985</c:v>
                </c:pt>
                <c:pt idx="1">
                  <c:v>2321</c:v>
                </c:pt>
                <c:pt idx="2">
                  <c:v>1976</c:v>
                </c:pt>
                <c:pt idx="3">
                  <c:v>1892</c:v>
                </c:pt>
                <c:pt idx="4">
                  <c:v>1779</c:v>
                </c:pt>
                <c:pt idx="5">
                  <c:v>1866</c:v>
                </c:pt>
                <c:pt idx="6">
                  <c:v>1700</c:v>
                </c:pt>
                <c:pt idx="7">
                  <c:v>2239</c:v>
                </c:pt>
                <c:pt idx="8">
                  <c:v>2614</c:v>
                </c:pt>
                <c:pt idx="9">
                  <c:v>2278</c:v>
                </c:pt>
                <c:pt idx="10">
                  <c:v>2449</c:v>
                </c:pt>
                <c:pt idx="11">
                  <c:v>2453</c:v>
                </c:pt>
                <c:pt idx="12">
                  <c:v>2603</c:v>
                </c:pt>
                <c:pt idx="13">
                  <c:v>2616</c:v>
                </c:pt>
                <c:pt idx="14">
                  <c:v>2653</c:v>
                </c:pt>
                <c:pt idx="15">
                  <c:v>2594</c:v>
                </c:pt>
                <c:pt idx="16">
                  <c:v>2536</c:v>
                </c:pt>
                <c:pt idx="17">
                  <c:v>2450</c:v>
                </c:pt>
                <c:pt idx="18">
                  <c:v>1976</c:v>
                </c:pt>
              </c:numCache>
            </c:numRef>
          </c:val>
          <c:smooth val="0"/>
          <c:extLst>
            <c:ext xmlns:c16="http://schemas.microsoft.com/office/drawing/2014/chart" uri="{C3380CC4-5D6E-409C-BE32-E72D297353CC}">
              <c16:uniqueId val="{00000000-AD1F-4760-8818-4F8C8342FB08}"/>
            </c:ext>
          </c:extLst>
        </c:ser>
        <c:ser>
          <c:idx val="1"/>
          <c:order val="1"/>
          <c:tx>
            <c:strRef>
              <c:f>'Data till figurer'!$BM$3</c:f>
              <c:strCache>
                <c:ptCount val="1"/>
                <c:pt idx="0">
                  <c:v>Finland (milj. tonkm)</c:v>
                </c:pt>
              </c:strCache>
            </c:strRef>
          </c:tx>
          <c:spPr>
            <a:ln w="28575" cap="rnd">
              <a:solidFill>
                <a:srgbClr val="52AF32">
                  <a:alpha val="60000"/>
                </a:srgbClr>
              </a:solidFill>
              <a:round/>
            </a:ln>
            <a:effectLst/>
          </c:spPr>
          <c:marker>
            <c:symbol val="none"/>
          </c:marker>
          <c:cat>
            <c:numRef>
              <c:f>'Data till figurer'!$A$17:$A$40</c:f>
              <c:numCache>
                <c:formatCode>General</c:formatCod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'Data till figurer'!$BM$17:$BM$40</c:f>
              <c:numCache>
                <c:formatCode>#,##0</c:formatCode>
                <c:ptCount val="24"/>
                <c:pt idx="0">
                  <c:v>10047</c:v>
                </c:pt>
                <c:pt idx="1">
                  <c:v>10105</c:v>
                </c:pt>
                <c:pt idx="2">
                  <c:v>9706</c:v>
                </c:pt>
                <c:pt idx="3">
                  <c:v>11060</c:v>
                </c:pt>
                <c:pt idx="4">
                  <c:v>10434</c:v>
                </c:pt>
                <c:pt idx="5">
                  <c:v>10777</c:v>
                </c:pt>
                <c:pt idx="6">
                  <c:v>8872</c:v>
                </c:pt>
                <c:pt idx="7">
                  <c:v>9750</c:v>
                </c:pt>
                <c:pt idx="8">
                  <c:v>9395</c:v>
                </c:pt>
                <c:pt idx="9">
                  <c:v>9275</c:v>
                </c:pt>
                <c:pt idx="10">
                  <c:v>9470</c:v>
                </c:pt>
                <c:pt idx="11">
                  <c:v>9597</c:v>
                </c:pt>
                <c:pt idx="12">
                  <c:v>8468</c:v>
                </c:pt>
                <c:pt idx="13">
                  <c:v>9456</c:v>
                </c:pt>
                <c:pt idx="14">
                  <c:v>10362</c:v>
                </c:pt>
                <c:pt idx="15">
                  <c:v>11175</c:v>
                </c:pt>
                <c:pt idx="16">
                  <c:v>10088</c:v>
                </c:pt>
                <c:pt idx="17">
                  <c:v>10118</c:v>
                </c:pt>
                <c:pt idx="18">
                  <c:v>10807</c:v>
                </c:pt>
              </c:numCache>
            </c:numRef>
          </c:val>
          <c:smooth val="0"/>
          <c:extLst>
            <c:ext xmlns:c16="http://schemas.microsoft.com/office/drawing/2014/chart" uri="{C3380CC4-5D6E-409C-BE32-E72D297353CC}">
              <c16:uniqueId val="{00000001-AD1F-4760-8818-4F8C8342FB08}"/>
            </c:ext>
          </c:extLst>
        </c:ser>
        <c:ser>
          <c:idx val="2"/>
          <c:order val="2"/>
          <c:tx>
            <c:strRef>
              <c:f>'Data till figurer'!$BN$3</c:f>
              <c:strCache>
                <c:ptCount val="1"/>
                <c:pt idx="0">
                  <c:v>Sverige (milj. tonkm)</c:v>
                </c:pt>
              </c:strCache>
            </c:strRef>
          </c:tx>
          <c:spPr>
            <a:ln w="28575" cap="rnd">
              <a:solidFill>
                <a:schemeClr val="tx1"/>
              </a:solidFill>
              <a:round/>
            </a:ln>
            <a:effectLst/>
          </c:spPr>
          <c:marker>
            <c:symbol val="none"/>
          </c:marker>
          <c:cat>
            <c:numRef>
              <c:f>'Data till figurer'!$A$17:$A$40</c:f>
              <c:numCache>
                <c:formatCode>General</c:formatCod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'Data till figurer'!$BN$17:$BN$40</c:f>
              <c:numCache>
                <c:formatCode>#,##0</c:formatCode>
                <c:ptCount val="24"/>
                <c:pt idx="0">
                  <c:v>20169.596828666665</c:v>
                </c:pt>
                <c:pt idx="1">
                  <c:v>20856.236783</c:v>
                </c:pt>
                <c:pt idx="2">
                  <c:v>21674.886677491828</c:v>
                </c:pt>
                <c:pt idx="3">
                  <c:v>22271.432596099214</c:v>
                </c:pt>
                <c:pt idx="4">
                  <c:v>23250.308103429517</c:v>
                </c:pt>
                <c:pt idx="5">
                  <c:v>22923.77228420664</c:v>
                </c:pt>
                <c:pt idx="6">
                  <c:v>20388.782683415666</c:v>
                </c:pt>
                <c:pt idx="7">
                  <c:v>23463.779546863581</c:v>
                </c:pt>
                <c:pt idx="8">
                  <c:v>22864.313674349498</c:v>
                </c:pt>
                <c:pt idx="9">
                  <c:v>22042.639650754358</c:v>
                </c:pt>
                <c:pt idx="10">
                  <c:v>20969.97451140235</c:v>
                </c:pt>
                <c:pt idx="11">
                  <c:v>21296.328419109857</c:v>
                </c:pt>
                <c:pt idx="12">
                  <c:v>20699.316376736151</c:v>
                </c:pt>
                <c:pt idx="13">
                  <c:v>21405.755612759873</c:v>
                </c:pt>
                <c:pt idx="14">
                  <c:v>21838.175764905012</c:v>
                </c:pt>
                <c:pt idx="15">
                  <c:v>22794.306069131799</c:v>
                </c:pt>
                <c:pt idx="16">
                  <c:v>22222.065674494042</c:v>
                </c:pt>
                <c:pt idx="17">
                  <c:v>22093.897979014626</c:v>
                </c:pt>
                <c:pt idx="18">
                  <c:v>23448.887165486929</c:v>
                </c:pt>
              </c:numCache>
            </c:numRef>
          </c:val>
          <c:smooth val="0"/>
          <c:extLst>
            <c:ext xmlns:c16="http://schemas.microsoft.com/office/drawing/2014/chart" uri="{C3380CC4-5D6E-409C-BE32-E72D297353CC}">
              <c16:uniqueId val="{00000002-AD1F-4760-8818-4F8C8342FB08}"/>
            </c:ext>
          </c:extLst>
        </c:ser>
        <c:ser>
          <c:idx val="3"/>
          <c:order val="3"/>
          <c:tx>
            <c:strRef>
              <c:f>'Data till figurer'!$BO$3</c:f>
              <c:strCache>
                <c:ptCount val="1"/>
                <c:pt idx="0">
                  <c:v>Norge (milj. tonkm)</c:v>
                </c:pt>
              </c:strCache>
            </c:strRef>
          </c:tx>
          <c:spPr>
            <a:ln w="28575" cap="rnd">
              <a:solidFill>
                <a:srgbClr val="52AF32">
                  <a:alpha val="40000"/>
                </a:srgbClr>
              </a:solidFill>
              <a:round/>
            </a:ln>
            <a:effectLst/>
          </c:spPr>
          <c:marker>
            <c:symbol val="none"/>
          </c:marker>
          <c:cat>
            <c:numRef>
              <c:f>'Data till figurer'!$A$17:$A$40</c:f>
              <c:numCache>
                <c:formatCode>General</c:formatCode>
                <c:ptCount val="24"/>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numCache>
            </c:numRef>
          </c:cat>
          <c:val>
            <c:numRef>
              <c:f>'Data till figurer'!$BO$17:$BO$40</c:f>
              <c:numCache>
                <c:formatCode>#,##0</c:formatCode>
                <c:ptCount val="24"/>
                <c:pt idx="0">
                  <c:v>2627</c:v>
                </c:pt>
                <c:pt idx="1">
                  <c:v>2845</c:v>
                </c:pt>
                <c:pt idx="2">
                  <c:v>3182</c:v>
                </c:pt>
                <c:pt idx="3">
                  <c:v>3351</c:v>
                </c:pt>
                <c:pt idx="4">
                  <c:v>3502</c:v>
                </c:pt>
                <c:pt idx="5">
                  <c:v>3621</c:v>
                </c:pt>
                <c:pt idx="6">
                  <c:v>3506</c:v>
                </c:pt>
                <c:pt idx="7">
                  <c:v>3496</c:v>
                </c:pt>
                <c:pt idx="8">
                  <c:v>3574</c:v>
                </c:pt>
                <c:pt idx="9">
                  <c:v>3489</c:v>
                </c:pt>
                <c:pt idx="10">
                  <c:v>3383</c:v>
                </c:pt>
                <c:pt idx="11">
                  <c:v>3539</c:v>
                </c:pt>
                <c:pt idx="12">
                  <c:v>3498</c:v>
                </c:pt>
                <c:pt idx="13">
                  <c:v>3312</c:v>
                </c:pt>
                <c:pt idx="14">
                  <c:v>4040</c:v>
                </c:pt>
                <c:pt idx="15">
                  <c:v>4126</c:v>
                </c:pt>
                <c:pt idx="16">
                  <c:v>4103</c:v>
                </c:pt>
                <c:pt idx="17">
                  <c:v>4217</c:v>
                </c:pt>
                <c:pt idx="18">
                  <c:v>4521</c:v>
                </c:pt>
              </c:numCache>
            </c:numRef>
          </c:val>
          <c:smooth val="0"/>
          <c:extLst>
            <c:ext xmlns:c16="http://schemas.microsoft.com/office/drawing/2014/chart" uri="{C3380CC4-5D6E-409C-BE32-E72D297353CC}">
              <c16:uniqueId val="{00000003-AD1F-4760-8818-4F8C8342FB08}"/>
            </c:ext>
          </c:extLst>
        </c:ser>
        <c:dLbls>
          <c:showLegendKey val="0"/>
          <c:showVal val="0"/>
          <c:showCatName val="0"/>
          <c:showSerName val="0"/>
          <c:showPercent val="0"/>
          <c:showBubbleSize val="0"/>
        </c:dLbls>
        <c:smooth val="0"/>
        <c:axId val="273034984"/>
        <c:axId val="273033024"/>
      </c:lineChart>
      <c:dateAx>
        <c:axId val="273034984"/>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273033024"/>
        <c:crosses val="autoZero"/>
        <c:auto val="0"/>
        <c:lblOffset val="100"/>
        <c:baseTimeUnit val="days"/>
      </c:dateAx>
      <c:valAx>
        <c:axId val="2730330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27303498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830699514341113"/>
          <c:y val="0.10576248018854316"/>
          <c:w val="0.77753751213599354"/>
          <c:h val="0.74580294263905245"/>
        </c:manualLayout>
      </c:layout>
      <c:lineChart>
        <c:grouping val="standard"/>
        <c:varyColors val="0"/>
        <c:ser>
          <c:idx val="0"/>
          <c:order val="0"/>
          <c:tx>
            <c:strRef>
              <c:f>'Data till figurer'!$BQ$3</c:f>
              <c:strCache>
                <c:ptCount val="1"/>
                <c:pt idx="0">
                  <c:v>Danmark (Antal passagerare, tusental)</c:v>
                </c:pt>
              </c:strCache>
            </c:strRef>
          </c:tx>
          <c:spPr>
            <a:ln w="28575" cap="rnd">
              <a:solidFill>
                <a:srgbClr val="52AF32">
                  <a:alpha val="60000"/>
                </a:srgbClr>
              </a:solidFill>
              <a:round/>
            </a:ln>
            <a:effectLst/>
          </c:spPr>
          <c:marker>
            <c:symbol val="none"/>
          </c:marker>
          <c:cat>
            <c:numRef>
              <c:f>'Data till figurer'!$A$18:$A$40</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'Data till figurer'!$BQ$18:$BQ$40</c:f>
              <c:numCache>
                <c:formatCode>#,##0</c:formatCode>
                <c:ptCount val="23"/>
                <c:pt idx="0">
                  <c:v>168552</c:v>
                </c:pt>
                <c:pt idx="1">
                  <c:v>171377</c:v>
                </c:pt>
                <c:pt idx="2">
                  <c:v>174573</c:v>
                </c:pt>
                <c:pt idx="3">
                  <c:v>174940</c:v>
                </c:pt>
                <c:pt idx="4">
                  <c:v>179750</c:v>
                </c:pt>
                <c:pt idx="5">
                  <c:v>184225</c:v>
                </c:pt>
                <c:pt idx="6">
                  <c:v>185947</c:v>
                </c:pt>
                <c:pt idx="7">
                  <c:v>194428</c:v>
                </c:pt>
                <c:pt idx="8">
                  <c:v>201899</c:v>
                </c:pt>
                <c:pt idx="9">
                  <c:v>206160</c:v>
                </c:pt>
                <c:pt idx="10">
                  <c:v>208311</c:v>
                </c:pt>
                <c:pt idx="11">
                  <c:v>212253</c:v>
                </c:pt>
                <c:pt idx="12">
                  <c:v>211399</c:v>
                </c:pt>
                <c:pt idx="13">
                  <c:v>206566</c:v>
                </c:pt>
                <c:pt idx="14">
                  <c:v>205307</c:v>
                </c:pt>
                <c:pt idx="15">
                  <c:v>206597</c:v>
                </c:pt>
                <c:pt idx="16">
                  <c:v>133897</c:v>
                </c:pt>
                <c:pt idx="17">
                  <c:v>133735</c:v>
                </c:pt>
              </c:numCache>
            </c:numRef>
          </c:val>
          <c:smooth val="0"/>
          <c:extLst>
            <c:ext xmlns:c16="http://schemas.microsoft.com/office/drawing/2014/chart" uri="{C3380CC4-5D6E-409C-BE32-E72D297353CC}">
              <c16:uniqueId val="{00000000-D462-48E3-BAE0-660FD336C256}"/>
            </c:ext>
          </c:extLst>
        </c:ser>
        <c:ser>
          <c:idx val="1"/>
          <c:order val="1"/>
          <c:tx>
            <c:strRef>
              <c:f>'Data till figurer'!$BR$3</c:f>
              <c:strCache>
                <c:ptCount val="1"/>
                <c:pt idx="0">
                  <c:v>Finland (Antal passagerare, tusental)</c:v>
                </c:pt>
              </c:strCache>
            </c:strRef>
          </c:tx>
          <c:spPr>
            <a:ln w="28575" cap="rnd">
              <a:solidFill>
                <a:srgbClr val="52AF32">
                  <a:alpha val="80000"/>
                </a:srgbClr>
              </a:solidFill>
              <a:round/>
            </a:ln>
            <a:effectLst/>
          </c:spPr>
          <c:marker>
            <c:symbol val="none"/>
          </c:marker>
          <c:cat>
            <c:numRef>
              <c:f>'Data till figurer'!$A$18:$A$40</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'Data till figurer'!$BR$18:$BR$40</c:f>
              <c:numCache>
                <c:formatCode>#,##0</c:formatCode>
                <c:ptCount val="23"/>
                <c:pt idx="0">
                  <c:v>60134</c:v>
                </c:pt>
                <c:pt idx="1">
                  <c:v>63493</c:v>
                </c:pt>
                <c:pt idx="2">
                  <c:v>63803</c:v>
                </c:pt>
                <c:pt idx="3">
                  <c:v>66685</c:v>
                </c:pt>
                <c:pt idx="4">
                  <c:v>69937</c:v>
                </c:pt>
                <c:pt idx="5">
                  <c:v>67555</c:v>
                </c:pt>
                <c:pt idx="6">
                  <c:v>68950</c:v>
                </c:pt>
                <c:pt idx="7">
                  <c:v>68376</c:v>
                </c:pt>
                <c:pt idx="8">
                  <c:v>69331</c:v>
                </c:pt>
                <c:pt idx="9">
                  <c:v>69318</c:v>
                </c:pt>
                <c:pt idx="10">
                  <c:v>68262</c:v>
                </c:pt>
                <c:pt idx="11">
                  <c:v>75952</c:v>
                </c:pt>
                <c:pt idx="12">
                  <c:v>82114</c:v>
                </c:pt>
                <c:pt idx="13">
                  <c:v>85703</c:v>
                </c:pt>
                <c:pt idx="14">
                  <c:v>87502</c:v>
                </c:pt>
                <c:pt idx="15">
                  <c:v>92802</c:v>
                </c:pt>
                <c:pt idx="16">
                  <c:v>59550</c:v>
                </c:pt>
                <c:pt idx="17">
                  <c:v>55008</c:v>
                </c:pt>
              </c:numCache>
            </c:numRef>
          </c:val>
          <c:smooth val="0"/>
          <c:extLst>
            <c:ext xmlns:c16="http://schemas.microsoft.com/office/drawing/2014/chart" uri="{C3380CC4-5D6E-409C-BE32-E72D297353CC}">
              <c16:uniqueId val="{00000001-D462-48E3-BAE0-660FD336C256}"/>
            </c:ext>
          </c:extLst>
        </c:ser>
        <c:ser>
          <c:idx val="2"/>
          <c:order val="2"/>
          <c:tx>
            <c:strRef>
              <c:f>'Data till figurer'!$BS$3</c:f>
              <c:strCache>
                <c:ptCount val="1"/>
                <c:pt idx="0">
                  <c:v>Sverige (Antal passagerare, tusental)</c:v>
                </c:pt>
              </c:strCache>
            </c:strRef>
          </c:tx>
          <c:spPr>
            <a:ln w="28575" cap="rnd">
              <a:solidFill>
                <a:schemeClr val="tx1"/>
              </a:solidFill>
              <a:round/>
            </a:ln>
            <a:effectLst/>
          </c:spPr>
          <c:marker>
            <c:symbol val="none"/>
          </c:marker>
          <c:cat>
            <c:numRef>
              <c:f>'Data till figurer'!$A$18:$A$40</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'Data till figurer'!$BS$18:$BS$40</c:f>
              <c:numCache>
                <c:formatCode>#,##0</c:formatCode>
                <c:ptCount val="23"/>
                <c:pt idx="0">
                  <c:v>146615</c:v>
                </c:pt>
                <c:pt idx="1">
                  <c:v>150058</c:v>
                </c:pt>
                <c:pt idx="2">
                  <c:v>159067</c:v>
                </c:pt>
                <c:pt idx="3">
                  <c:v>169061</c:v>
                </c:pt>
                <c:pt idx="4">
                  <c:v>178929</c:v>
                </c:pt>
                <c:pt idx="5">
                  <c:v>179095</c:v>
                </c:pt>
                <c:pt idx="6">
                  <c:v>179343</c:v>
                </c:pt>
                <c:pt idx="7">
                  <c:v>187055</c:v>
                </c:pt>
                <c:pt idx="8">
                  <c:v>193163</c:v>
                </c:pt>
                <c:pt idx="9">
                  <c:v>200706</c:v>
                </c:pt>
                <c:pt idx="10">
                  <c:v>207280</c:v>
                </c:pt>
                <c:pt idx="11">
                  <c:v>214434</c:v>
                </c:pt>
                <c:pt idx="12">
                  <c:v>220945</c:v>
                </c:pt>
                <c:pt idx="13">
                  <c:v>229816</c:v>
                </c:pt>
                <c:pt idx="14">
                  <c:v>246490</c:v>
                </c:pt>
                <c:pt idx="15">
                  <c:v>264603</c:v>
                </c:pt>
                <c:pt idx="16">
                  <c:v>169163</c:v>
                </c:pt>
                <c:pt idx="17">
                  <c:v>164490</c:v>
                </c:pt>
              </c:numCache>
            </c:numRef>
          </c:val>
          <c:smooth val="0"/>
          <c:extLst>
            <c:ext xmlns:c16="http://schemas.microsoft.com/office/drawing/2014/chart" uri="{C3380CC4-5D6E-409C-BE32-E72D297353CC}">
              <c16:uniqueId val="{00000002-D462-48E3-BAE0-660FD336C256}"/>
            </c:ext>
          </c:extLst>
        </c:ser>
        <c:ser>
          <c:idx val="3"/>
          <c:order val="3"/>
          <c:tx>
            <c:strRef>
              <c:f>'Data till figurer'!$BT$3</c:f>
              <c:strCache>
                <c:ptCount val="1"/>
                <c:pt idx="0">
                  <c:v>Norge (Antal passagerare, tusental)</c:v>
                </c:pt>
              </c:strCache>
            </c:strRef>
          </c:tx>
          <c:spPr>
            <a:ln w="28575" cap="rnd">
              <a:solidFill>
                <a:srgbClr val="52AF32">
                  <a:alpha val="40000"/>
                </a:srgbClr>
              </a:solidFill>
              <a:round/>
            </a:ln>
            <a:effectLst/>
          </c:spPr>
          <c:marker>
            <c:symbol val="none"/>
          </c:marker>
          <c:cat>
            <c:numRef>
              <c:f>'Data till figurer'!$A$18:$A$40</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'Data till figurer'!$BT$18:$BT$40</c:f>
              <c:numCache>
                <c:formatCode>#,##0</c:formatCode>
                <c:ptCount val="23"/>
                <c:pt idx="1">
                  <c:v>52559</c:v>
                </c:pt>
                <c:pt idx="2">
                  <c:v>54695</c:v>
                </c:pt>
                <c:pt idx="3">
                  <c:v>56808</c:v>
                </c:pt>
                <c:pt idx="4">
                  <c:v>59071</c:v>
                </c:pt>
                <c:pt idx="5">
                  <c:v>57937</c:v>
                </c:pt>
                <c:pt idx="6">
                  <c:v>59304</c:v>
                </c:pt>
                <c:pt idx="7">
                  <c:v>59384</c:v>
                </c:pt>
                <c:pt idx="8">
                  <c:v>62689</c:v>
                </c:pt>
                <c:pt idx="9">
                  <c:v>67251</c:v>
                </c:pt>
                <c:pt idx="10">
                  <c:v>70341</c:v>
                </c:pt>
                <c:pt idx="11">
                  <c:v>73836</c:v>
                </c:pt>
                <c:pt idx="12">
                  <c:v>74293</c:v>
                </c:pt>
                <c:pt idx="13">
                  <c:v>73561</c:v>
                </c:pt>
                <c:pt idx="14">
                  <c:v>77740</c:v>
                </c:pt>
                <c:pt idx="15">
                  <c:v>81300</c:v>
                </c:pt>
                <c:pt idx="16">
                  <c:v>42494</c:v>
                </c:pt>
                <c:pt idx="17">
                  <c:v>39744</c:v>
                </c:pt>
              </c:numCache>
            </c:numRef>
          </c:val>
          <c:smooth val="0"/>
          <c:extLst>
            <c:ext xmlns:c16="http://schemas.microsoft.com/office/drawing/2014/chart" uri="{C3380CC4-5D6E-409C-BE32-E72D297353CC}">
              <c16:uniqueId val="{00000003-D462-48E3-BAE0-660FD336C256}"/>
            </c:ext>
          </c:extLst>
        </c:ser>
        <c:dLbls>
          <c:showLegendKey val="0"/>
          <c:showVal val="0"/>
          <c:showCatName val="0"/>
          <c:showSerName val="0"/>
          <c:showPercent val="0"/>
          <c:showBubbleSize val="0"/>
        </c:dLbls>
        <c:smooth val="0"/>
        <c:axId val="612672864"/>
        <c:axId val="612672080"/>
      </c:lineChart>
      <c:dateAx>
        <c:axId val="612672864"/>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12672080"/>
        <c:crosses val="autoZero"/>
        <c:auto val="0"/>
        <c:lblOffset val="100"/>
        <c:baseTimeUnit val="days"/>
      </c:dateAx>
      <c:valAx>
        <c:axId val="61267208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1267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46386066190933"/>
          <c:y val="0.10576248018854316"/>
          <c:w val="0.81042808444490078"/>
          <c:h val="0.74352957013210974"/>
        </c:manualLayout>
      </c:layout>
      <c:lineChart>
        <c:grouping val="standard"/>
        <c:varyColors val="0"/>
        <c:ser>
          <c:idx val="0"/>
          <c:order val="0"/>
          <c:tx>
            <c:strRef>
              <c:f>'Data till figurer'!$BV$3</c:f>
              <c:strCache>
                <c:ptCount val="1"/>
                <c:pt idx="0">
                  <c:v>Danmark (miljoner pkm)</c:v>
                </c:pt>
              </c:strCache>
            </c:strRef>
          </c:tx>
          <c:spPr>
            <a:ln w="28575" cap="rnd">
              <a:solidFill>
                <a:srgbClr val="52AF32">
                  <a:alpha val="80000"/>
                </a:srgbClr>
              </a:solidFill>
              <a:round/>
            </a:ln>
            <a:effectLst/>
          </c:spPr>
          <c:marker>
            <c:symbol val="none"/>
          </c:marker>
          <c:cat>
            <c:numRef>
              <c:f>'Data till figurer'!$A$18:$A$40</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'Data till figurer'!$BV$18:$BV$40</c:f>
              <c:numCache>
                <c:formatCode>#,##0</c:formatCode>
                <c:ptCount val="23"/>
                <c:pt idx="0">
                  <c:v>5921</c:v>
                </c:pt>
                <c:pt idx="1">
                  <c:v>5961</c:v>
                </c:pt>
                <c:pt idx="2">
                  <c:v>6097</c:v>
                </c:pt>
                <c:pt idx="3">
                  <c:v>6163</c:v>
                </c:pt>
                <c:pt idx="4">
                  <c:v>6267</c:v>
                </c:pt>
                <c:pt idx="5">
                  <c:v>6161</c:v>
                </c:pt>
                <c:pt idx="6">
                  <c:v>6341</c:v>
                </c:pt>
                <c:pt idx="7">
                  <c:v>6605</c:v>
                </c:pt>
                <c:pt idx="8">
                  <c:v>6744</c:v>
                </c:pt>
                <c:pt idx="9">
                  <c:v>6785</c:v>
                </c:pt>
                <c:pt idx="10">
                  <c:v>6513</c:v>
                </c:pt>
                <c:pt idx="11">
                  <c:v>6507</c:v>
                </c:pt>
                <c:pt idx="12">
                  <c:v>6332</c:v>
                </c:pt>
                <c:pt idx="13">
                  <c:v>6280</c:v>
                </c:pt>
                <c:pt idx="14">
                  <c:v>6182</c:v>
                </c:pt>
                <c:pt idx="15">
                  <c:v>6173</c:v>
                </c:pt>
                <c:pt idx="16">
                  <c:v>3940</c:v>
                </c:pt>
                <c:pt idx="17">
                  <c:v>4177</c:v>
                </c:pt>
              </c:numCache>
            </c:numRef>
          </c:val>
          <c:smooth val="0"/>
          <c:extLst>
            <c:ext xmlns:c16="http://schemas.microsoft.com/office/drawing/2014/chart" uri="{C3380CC4-5D6E-409C-BE32-E72D297353CC}">
              <c16:uniqueId val="{00000000-978B-46DD-A237-C1C9F08FD96E}"/>
            </c:ext>
          </c:extLst>
        </c:ser>
        <c:ser>
          <c:idx val="1"/>
          <c:order val="1"/>
          <c:tx>
            <c:strRef>
              <c:f>'Data till figurer'!$BW$3</c:f>
              <c:strCache>
                <c:ptCount val="1"/>
                <c:pt idx="0">
                  <c:v>Finland (miljoner pkm)</c:v>
                </c:pt>
              </c:strCache>
            </c:strRef>
          </c:tx>
          <c:spPr>
            <a:ln w="28575" cap="rnd">
              <a:solidFill>
                <a:srgbClr val="52AF32">
                  <a:alpha val="60000"/>
                </a:srgbClr>
              </a:solidFill>
              <a:round/>
            </a:ln>
            <a:effectLst/>
          </c:spPr>
          <c:marker>
            <c:symbol val="none"/>
          </c:marker>
          <c:cat>
            <c:numRef>
              <c:f>'Data till figurer'!$A$18:$A$40</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'Data till figurer'!$BW$18:$BW$40</c:f>
              <c:numCache>
                <c:formatCode>#,##0</c:formatCode>
                <c:ptCount val="23"/>
                <c:pt idx="0">
                  <c:v>3352</c:v>
                </c:pt>
                <c:pt idx="1">
                  <c:v>3478</c:v>
                </c:pt>
                <c:pt idx="2">
                  <c:v>3540</c:v>
                </c:pt>
                <c:pt idx="3">
                  <c:v>3778</c:v>
                </c:pt>
                <c:pt idx="4">
                  <c:v>4052</c:v>
                </c:pt>
                <c:pt idx="5">
                  <c:v>3876</c:v>
                </c:pt>
                <c:pt idx="6">
                  <c:v>3959</c:v>
                </c:pt>
                <c:pt idx="7">
                  <c:v>3882</c:v>
                </c:pt>
                <c:pt idx="8">
                  <c:v>4035</c:v>
                </c:pt>
                <c:pt idx="9">
                  <c:v>4053</c:v>
                </c:pt>
                <c:pt idx="10">
                  <c:v>3874</c:v>
                </c:pt>
                <c:pt idx="11">
                  <c:v>4114</c:v>
                </c:pt>
                <c:pt idx="12">
                  <c:v>3868</c:v>
                </c:pt>
                <c:pt idx="13">
                  <c:v>4271</c:v>
                </c:pt>
                <c:pt idx="14">
                  <c:v>4535</c:v>
                </c:pt>
                <c:pt idx="15">
                  <c:v>4925</c:v>
                </c:pt>
                <c:pt idx="16">
                  <c:v>2820</c:v>
                </c:pt>
                <c:pt idx="17">
                  <c:v>2903</c:v>
                </c:pt>
              </c:numCache>
            </c:numRef>
          </c:val>
          <c:smooth val="0"/>
          <c:extLst>
            <c:ext xmlns:c16="http://schemas.microsoft.com/office/drawing/2014/chart" uri="{C3380CC4-5D6E-409C-BE32-E72D297353CC}">
              <c16:uniqueId val="{00000001-978B-46DD-A237-C1C9F08FD96E}"/>
            </c:ext>
          </c:extLst>
        </c:ser>
        <c:ser>
          <c:idx val="2"/>
          <c:order val="2"/>
          <c:tx>
            <c:strRef>
              <c:f>'Data till figurer'!$BX$3</c:f>
              <c:strCache>
                <c:ptCount val="1"/>
                <c:pt idx="0">
                  <c:v>Sverige (miljoner pkm)</c:v>
                </c:pt>
              </c:strCache>
            </c:strRef>
          </c:tx>
          <c:spPr>
            <a:ln w="28575" cap="rnd">
              <a:solidFill>
                <a:schemeClr val="tx1"/>
              </a:solidFill>
              <a:round/>
            </a:ln>
            <a:effectLst/>
          </c:spPr>
          <c:marker>
            <c:symbol val="none"/>
          </c:marker>
          <c:cat>
            <c:numRef>
              <c:f>'Data till figurer'!$A$18:$A$40</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'Data till figurer'!$BX$18:$BX$40</c:f>
              <c:numCache>
                <c:formatCode>#,##0</c:formatCode>
                <c:ptCount val="23"/>
                <c:pt idx="0">
                  <c:v>8634</c:v>
                </c:pt>
                <c:pt idx="1">
                  <c:v>8910</c:v>
                </c:pt>
                <c:pt idx="2">
                  <c:v>9617</c:v>
                </c:pt>
                <c:pt idx="3">
                  <c:v>10261</c:v>
                </c:pt>
                <c:pt idx="4">
                  <c:v>11146</c:v>
                </c:pt>
                <c:pt idx="5">
                  <c:v>11321</c:v>
                </c:pt>
                <c:pt idx="6">
                  <c:v>11155.419663000001</c:v>
                </c:pt>
                <c:pt idx="7">
                  <c:v>11378.376344014263</c:v>
                </c:pt>
                <c:pt idx="8">
                  <c:v>11792.138006190546</c:v>
                </c:pt>
                <c:pt idx="9">
                  <c:v>11841.664720882367</c:v>
                </c:pt>
                <c:pt idx="10">
                  <c:v>12121.177504656727</c:v>
                </c:pt>
                <c:pt idx="11">
                  <c:v>12649.943776457516</c:v>
                </c:pt>
                <c:pt idx="12">
                  <c:v>12800.31148412019</c:v>
                </c:pt>
                <c:pt idx="13">
                  <c:v>13330.612385469605</c:v>
                </c:pt>
                <c:pt idx="14">
                  <c:v>13546.798247255467</c:v>
                </c:pt>
                <c:pt idx="15">
                  <c:v>14617.20723412064</c:v>
                </c:pt>
                <c:pt idx="16">
                  <c:v>8128.7446646915987</c:v>
                </c:pt>
                <c:pt idx="17">
                  <c:v>8027.4892975501525</c:v>
                </c:pt>
              </c:numCache>
            </c:numRef>
          </c:val>
          <c:smooth val="0"/>
          <c:extLst>
            <c:ext xmlns:c16="http://schemas.microsoft.com/office/drawing/2014/chart" uri="{C3380CC4-5D6E-409C-BE32-E72D297353CC}">
              <c16:uniqueId val="{00000002-978B-46DD-A237-C1C9F08FD96E}"/>
            </c:ext>
          </c:extLst>
        </c:ser>
        <c:ser>
          <c:idx val="3"/>
          <c:order val="3"/>
          <c:tx>
            <c:strRef>
              <c:f>'Data till figurer'!$BY$3</c:f>
              <c:strCache>
                <c:ptCount val="1"/>
                <c:pt idx="0">
                  <c:v>Norge (miljoner pkm)</c:v>
                </c:pt>
              </c:strCache>
            </c:strRef>
          </c:tx>
          <c:spPr>
            <a:ln w="28575" cap="rnd">
              <a:solidFill>
                <a:srgbClr val="52AF32">
                  <a:alpha val="40000"/>
                </a:srgbClr>
              </a:solidFill>
              <a:round/>
            </a:ln>
            <a:effectLst/>
          </c:spPr>
          <c:marker>
            <c:symbol val="none"/>
          </c:marker>
          <c:cat>
            <c:numRef>
              <c:f>'Data till figurer'!$A$18:$A$40</c:f>
              <c:numCache>
                <c:formatCode>General</c:formatCode>
                <c:ptCount val="2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numCache>
            </c:numRef>
          </c:cat>
          <c:val>
            <c:numRef>
              <c:f>'Data till figurer'!$BY$18:$BY$40</c:f>
              <c:numCache>
                <c:formatCode>#,##0</c:formatCode>
                <c:ptCount val="23"/>
                <c:pt idx="1">
                  <c:v>2723</c:v>
                </c:pt>
                <c:pt idx="2">
                  <c:v>2833</c:v>
                </c:pt>
                <c:pt idx="3">
                  <c:v>2958</c:v>
                </c:pt>
                <c:pt idx="4">
                  <c:v>3123</c:v>
                </c:pt>
                <c:pt idx="5">
                  <c:v>3080</c:v>
                </c:pt>
                <c:pt idx="6">
                  <c:v>3186</c:v>
                </c:pt>
                <c:pt idx="7">
                  <c:v>3076</c:v>
                </c:pt>
                <c:pt idx="8">
                  <c:v>3092</c:v>
                </c:pt>
                <c:pt idx="9">
                  <c:v>3260</c:v>
                </c:pt>
                <c:pt idx="10">
                  <c:v>3440</c:v>
                </c:pt>
                <c:pt idx="11">
                  <c:v>3555</c:v>
                </c:pt>
                <c:pt idx="12">
                  <c:v>3695</c:v>
                </c:pt>
                <c:pt idx="13">
                  <c:v>3584</c:v>
                </c:pt>
                <c:pt idx="14">
                  <c:v>3722</c:v>
                </c:pt>
                <c:pt idx="15">
                  <c:v>3811</c:v>
                </c:pt>
                <c:pt idx="16">
                  <c:v>1787</c:v>
                </c:pt>
                <c:pt idx="17">
                  <c:v>1597</c:v>
                </c:pt>
              </c:numCache>
            </c:numRef>
          </c:val>
          <c:smooth val="0"/>
          <c:extLst>
            <c:ext xmlns:c16="http://schemas.microsoft.com/office/drawing/2014/chart" uri="{C3380CC4-5D6E-409C-BE32-E72D297353CC}">
              <c16:uniqueId val="{00000003-978B-46DD-A237-C1C9F08FD96E}"/>
            </c:ext>
          </c:extLst>
        </c:ser>
        <c:dLbls>
          <c:showLegendKey val="0"/>
          <c:showVal val="0"/>
          <c:showCatName val="0"/>
          <c:showSerName val="0"/>
          <c:showPercent val="0"/>
          <c:showBubbleSize val="0"/>
        </c:dLbls>
        <c:smooth val="0"/>
        <c:axId val="612671296"/>
        <c:axId val="612674432"/>
      </c:lineChart>
      <c:dateAx>
        <c:axId val="612671296"/>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12674432"/>
        <c:crosses val="autoZero"/>
        <c:auto val="0"/>
        <c:lblOffset val="100"/>
        <c:baseTimeUnit val="days"/>
      </c:dateAx>
      <c:valAx>
        <c:axId val="6126744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1267129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8574819228853"/>
          <c:y val="0.13531640635189834"/>
          <c:w val="0.83066843663499768"/>
          <c:h val="0.70209869873589748"/>
        </c:manualLayout>
      </c:layout>
      <c:areaChart>
        <c:grouping val="stacked"/>
        <c:varyColors val="0"/>
        <c:ser>
          <c:idx val="0"/>
          <c:order val="0"/>
          <c:tx>
            <c:strRef>
              <c:f>'Data till figurer'!$M$3</c:f>
              <c:strCache>
                <c:ptCount val="1"/>
                <c:pt idx="0">
                  <c:v>Dragfordon godstrafik</c:v>
                </c:pt>
              </c:strCache>
            </c:strRef>
          </c:tx>
          <c:spPr>
            <a:solidFill>
              <a:srgbClr val="52AF32"/>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figurer'!$M$4:$M$40</c:f>
              <c:numCache>
                <c:formatCode>#,##0</c:formatCode>
                <c:ptCount val="37"/>
                <c:pt idx="0">
                  <c:v>750</c:v>
                </c:pt>
                <c:pt idx="1">
                  <c:v>665</c:v>
                </c:pt>
                <c:pt idx="2">
                  <c:v>661</c:v>
                </c:pt>
                <c:pt idx="3">
                  <c:v>555</c:v>
                </c:pt>
                <c:pt idx="4">
                  <c:v>544</c:v>
                </c:pt>
                <c:pt idx="5">
                  <c:v>550</c:v>
                </c:pt>
                <c:pt idx="6">
                  <c:v>556</c:v>
                </c:pt>
                <c:pt idx="7">
                  <c:v>542</c:v>
                </c:pt>
                <c:pt idx="8">
                  <c:v>569</c:v>
                </c:pt>
                <c:pt idx="9">
                  <c:v>567</c:v>
                </c:pt>
                <c:pt idx="10">
                  <c:v>551</c:v>
                </c:pt>
                <c:pt idx="11">
                  <c:v>535</c:v>
                </c:pt>
                <c:pt idx="12">
                  <c:v>531</c:v>
                </c:pt>
                <c:pt idx="13">
                  <c:v>530</c:v>
                </c:pt>
                <c:pt idx="14">
                  <c:v>545</c:v>
                </c:pt>
                <c:pt idx="15">
                  <c:v>568</c:v>
                </c:pt>
                <c:pt idx="16">
                  <c:v>579</c:v>
                </c:pt>
                <c:pt idx="17">
                  <c:v>576</c:v>
                </c:pt>
                <c:pt idx="18">
                  <c:v>593</c:v>
                </c:pt>
                <c:pt idx="19">
                  <c:v>598</c:v>
                </c:pt>
                <c:pt idx="20">
                  <c:v>610</c:v>
                </c:pt>
                <c:pt idx="21">
                  <c:v>636</c:v>
                </c:pt>
                <c:pt idx="22">
                  <c:v>620</c:v>
                </c:pt>
                <c:pt idx="23">
                  <c:v>563</c:v>
                </c:pt>
                <c:pt idx="24">
                  <c:v>563</c:v>
                </c:pt>
                <c:pt idx="25">
                  <c:v>535</c:v>
                </c:pt>
                <c:pt idx="26">
                  <c:v>537</c:v>
                </c:pt>
                <c:pt idx="27">
                  <c:v>533</c:v>
                </c:pt>
                <c:pt idx="28">
                  <c:v>563</c:v>
                </c:pt>
                <c:pt idx="29">
                  <c:v>561</c:v>
                </c:pt>
                <c:pt idx="30">
                  <c:v>572</c:v>
                </c:pt>
                <c:pt idx="31">
                  <c:v>569</c:v>
                </c:pt>
              </c:numCache>
            </c:numRef>
          </c:val>
          <c:extLst>
            <c:ext xmlns:c16="http://schemas.microsoft.com/office/drawing/2014/chart" uri="{C3380CC4-5D6E-409C-BE32-E72D297353CC}">
              <c16:uniqueId val="{00000000-06C9-4649-A51E-5D86659FA145}"/>
            </c:ext>
          </c:extLst>
        </c:ser>
        <c:ser>
          <c:idx val="1"/>
          <c:order val="1"/>
          <c:tx>
            <c:strRef>
              <c:f>'Data till figurer'!$N$3</c:f>
              <c:strCache>
                <c:ptCount val="1"/>
                <c:pt idx="0">
                  <c:v>Dragfordon persontrafik</c:v>
                </c:pt>
              </c:strCache>
            </c:strRef>
          </c:tx>
          <c:spPr>
            <a:solidFill>
              <a:srgbClr val="52AF32">
                <a:alpha val="60000"/>
              </a:srgbClr>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figurer'!$N$4:$N$40</c:f>
              <c:numCache>
                <c:formatCode>#,##0</c:formatCode>
                <c:ptCount val="37"/>
                <c:pt idx="0">
                  <c:v>655</c:v>
                </c:pt>
                <c:pt idx="1">
                  <c:v>667</c:v>
                </c:pt>
                <c:pt idx="2">
                  <c:v>645</c:v>
                </c:pt>
                <c:pt idx="3">
                  <c:v>630</c:v>
                </c:pt>
                <c:pt idx="4">
                  <c:v>645</c:v>
                </c:pt>
                <c:pt idx="5">
                  <c:v>617</c:v>
                </c:pt>
                <c:pt idx="6">
                  <c:v>587</c:v>
                </c:pt>
                <c:pt idx="7">
                  <c:v>588</c:v>
                </c:pt>
                <c:pt idx="8">
                  <c:v>580</c:v>
                </c:pt>
                <c:pt idx="9">
                  <c:v>573</c:v>
                </c:pt>
                <c:pt idx="10">
                  <c:v>569</c:v>
                </c:pt>
                <c:pt idx="11">
                  <c:v>656</c:v>
                </c:pt>
                <c:pt idx="12">
                  <c:v>716</c:v>
                </c:pt>
                <c:pt idx="13">
                  <c:v>757</c:v>
                </c:pt>
                <c:pt idx="14">
                  <c:v>753</c:v>
                </c:pt>
                <c:pt idx="15">
                  <c:v>875</c:v>
                </c:pt>
                <c:pt idx="16">
                  <c:v>947</c:v>
                </c:pt>
                <c:pt idx="17">
                  <c:v>1174</c:v>
                </c:pt>
                <c:pt idx="18">
                  <c:v>1283</c:v>
                </c:pt>
                <c:pt idx="19">
                  <c:v>1281</c:v>
                </c:pt>
                <c:pt idx="20">
                  <c:v>1375</c:v>
                </c:pt>
                <c:pt idx="21">
                  <c:v>1442</c:v>
                </c:pt>
                <c:pt idx="22">
                  <c:v>1715</c:v>
                </c:pt>
                <c:pt idx="23">
                  <c:v>1786</c:v>
                </c:pt>
                <c:pt idx="24">
                  <c:v>1873</c:v>
                </c:pt>
                <c:pt idx="25">
                  <c:v>1905</c:v>
                </c:pt>
                <c:pt idx="26">
                  <c:v>2021</c:v>
                </c:pt>
                <c:pt idx="27">
                  <c:v>2166</c:v>
                </c:pt>
                <c:pt idx="28">
                  <c:v>2253</c:v>
                </c:pt>
                <c:pt idx="29">
                  <c:v>2256</c:v>
                </c:pt>
                <c:pt idx="30">
                  <c:v>2405</c:v>
                </c:pt>
                <c:pt idx="31">
                  <c:v>2472</c:v>
                </c:pt>
              </c:numCache>
            </c:numRef>
          </c:val>
          <c:extLst>
            <c:ext xmlns:c16="http://schemas.microsoft.com/office/drawing/2014/chart" uri="{C3380CC4-5D6E-409C-BE32-E72D297353CC}">
              <c16:uniqueId val="{00000001-06C9-4649-A51E-5D86659FA145}"/>
            </c:ext>
          </c:extLst>
        </c:ser>
        <c:dLbls>
          <c:showLegendKey val="0"/>
          <c:showVal val="0"/>
          <c:showCatName val="0"/>
          <c:showSerName val="0"/>
          <c:showPercent val="0"/>
          <c:showBubbleSize val="0"/>
        </c:dLbls>
        <c:axId val="625712240"/>
        <c:axId val="625713024"/>
      </c:areaChart>
      <c:dateAx>
        <c:axId val="625712240"/>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25713024"/>
        <c:crosses val="autoZero"/>
        <c:auto val="0"/>
        <c:lblOffset val="100"/>
        <c:baseTimeUnit val="days"/>
        <c:majorUnit val="1"/>
        <c:majorTimeUnit val="days"/>
      </c:dateAx>
      <c:valAx>
        <c:axId val="625713024"/>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2571224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970506061597006E-2"/>
          <c:y val="0.13531640635189834"/>
          <c:w val="0.86102896492014269"/>
          <c:h val="0.71620363259865816"/>
        </c:manualLayout>
      </c:layout>
      <c:areaChart>
        <c:grouping val="stacked"/>
        <c:varyColors val="0"/>
        <c:ser>
          <c:idx val="0"/>
          <c:order val="0"/>
          <c:tx>
            <c:strRef>
              <c:f>'Data till figurer'!$P$3</c:f>
              <c:strCache>
                <c:ptCount val="1"/>
                <c:pt idx="0">
                  <c:v>Personvagnar i mototvagnar</c:v>
                </c:pt>
              </c:strCache>
            </c:strRef>
          </c:tx>
          <c:spPr>
            <a:solidFill>
              <a:srgbClr val="52AF32"/>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figurer'!$P$4:$P$40</c:f>
              <c:numCache>
                <c:formatCode>#,##0</c:formatCode>
                <c:ptCount val="37"/>
                <c:pt idx="0">
                  <c:v>565</c:v>
                </c:pt>
                <c:pt idx="1">
                  <c:v>653</c:v>
                </c:pt>
                <c:pt idx="2">
                  <c:v>735</c:v>
                </c:pt>
                <c:pt idx="3">
                  <c:v>848</c:v>
                </c:pt>
                <c:pt idx="4">
                  <c:v>925</c:v>
                </c:pt>
                <c:pt idx="5">
                  <c:v>925</c:v>
                </c:pt>
                <c:pt idx="6">
                  <c:v>945</c:v>
                </c:pt>
                <c:pt idx="7">
                  <c:v>979</c:v>
                </c:pt>
                <c:pt idx="8">
                  <c:v>976</c:v>
                </c:pt>
                <c:pt idx="9">
                  <c:v>973</c:v>
                </c:pt>
                <c:pt idx="10">
                  <c:v>1010</c:v>
                </c:pt>
                <c:pt idx="11">
                  <c:v>1088</c:v>
                </c:pt>
                <c:pt idx="12">
                  <c:v>1171</c:v>
                </c:pt>
                <c:pt idx="13">
                  <c:v>1192</c:v>
                </c:pt>
                <c:pt idx="14">
                  <c:v>1204</c:v>
                </c:pt>
                <c:pt idx="15">
                  <c:v>1327</c:v>
                </c:pt>
                <c:pt idx="16">
                  <c:v>1398</c:v>
                </c:pt>
                <c:pt idx="17">
                  <c:v>1635</c:v>
                </c:pt>
                <c:pt idx="18">
                  <c:v>1752</c:v>
                </c:pt>
                <c:pt idx="19">
                  <c:v>1737</c:v>
                </c:pt>
                <c:pt idx="20">
                  <c:v>1823</c:v>
                </c:pt>
                <c:pt idx="21">
                  <c:v>1910</c:v>
                </c:pt>
                <c:pt idx="22">
                  <c:v>2133</c:v>
                </c:pt>
                <c:pt idx="23">
                  <c:v>2206</c:v>
                </c:pt>
                <c:pt idx="24">
                  <c:v>2307</c:v>
                </c:pt>
                <c:pt idx="25">
                  <c:v>2347</c:v>
                </c:pt>
                <c:pt idx="26">
                  <c:v>2433</c:v>
                </c:pt>
                <c:pt idx="27">
                  <c:v>2557</c:v>
                </c:pt>
                <c:pt idx="28">
                  <c:v>2607</c:v>
                </c:pt>
                <c:pt idx="29">
                  <c:v>2658</c:v>
                </c:pt>
                <c:pt idx="30">
                  <c:v>2802</c:v>
                </c:pt>
                <c:pt idx="31">
                  <c:v>2860</c:v>
                </c:pt>
              </c:numCache>
            </c:numRef>
          </c:val>
          <c:extLst>
            <c:ext xmlns:c16="http://schemas.microsoft.com/office/drawing/2014/chart" uri="{C3380CC4-5D6E-409C-BE32-E72D297353CC}">
              <c16:uniqueId val="{00000000-E36D-434C-B3BF-7F430BCC932D}"/>
            </c:ext>
          </c:extLst>
        </c:ser>
        <c:ser>
          <c:idx val="1"/>
          <c:order val="1"/>
          <c:tx>
            <c:strRef>
              <c:f>'Data till figurer'!$Q$3</c:f>
              <c:strCache>
                <c:ptCount val="1"/>
                <c:pt idx="0">
                  <c:v>Lokdragna personvagnar</c:v>
                </c:pt>
              </c:strCache>
            </c:strRef>
          </c:tx>
          <c:spPr>
            <a:solidFill>
              <a:srgbClr val="52AF32">
                <a:alpha val="60000"/>
              </a:srgbClr>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figurer'!$Q$4:$Q$40</c:f>
              <c:numCache>
                <c:formatCode>#,##0</c:formatCode>
                <c:ptCount val="37"/>
                <c:pt idx="0">
                  <c:v>1473</c:v>
                </c:pt>
                <c:pt idx="1">
                  <c:v>1393</c:v>
                </c:pt>
                <c:pt idx="2">
                  <c:v>1204</c:v>
                </c:pt>
                <c:pt idx="3">
                  <c:v>1130</c:v>
                </c:pt>
                <c:pt idx="4">
                  <c:v>1093</c:v>
                </c:pt>
                <c:pt idx="5">
                  <c:v>1041</c:v>
                </c:pt>
                <c:pt idx="6">
                  <c:v>957</c:v>
                </c:pt>
                <c:pt idx="7">
                  <c:v>920</c:v>
                </c:pt>
                <c:pt idx="8">
                  <c:v>911</c:v>
                </c:pt>
                <c:pt idx="9">
                  <c:v>877</c:v>
                </c:pt>
                <c:pt idx="10">
                  <c:v>779</c:v>
                </c:pt>
                <c:pt idx="11">
                  <c:v>800</c:v>
                </c:pt>
                <c:pt idx="12">
                  <c:v>764</c:v>
                </c:pt>
                <c:pt idx="13">
                  <c:v>685</c:v>
                </c:pt>
                <c:pt idx="14">
                  <c:v>580</c:v>
                </c:pt>
                <c:pt idx="15">
                  <c:v>574</c:v>
                </c:pt>
                <c:pt idx="16">
                  <c:v>554</c:v>
                </c:pt>
                <c:pt idx="17">
                  <c:v>542</c:v>
                </c:pt>
                <c:pt idx="18">
                  <c:v>552</c:v>
                </c:pt>
                <c:pt idx="19">
                  <c:v>554</c:v>
                </c:pt>
                <c:pt idx="20">
                  <c:v>551</c:v>
                </c:pt>
                <c:pt idx="21">
                  <c:v>502</c:v>
                </c:pt>
                <c:pt idx="22">
                  <c:v>513</c:v>
                </c:pt>
                <c:pt idx="23">
                  <c:v>509</c:v>
                </c:pt>
                <c:pt idx="24">
                  <c:v>499</c:v>
                </c:pt>
                <c:pt idx="25">
                  <c:v>511</c:v>
                </c:pt>
                <c:pt idx="26">
                  <c:v>531</c:v>
                </c:pt>
                <c:pt idx="27">
                  <c:v>491</c:v>
                </c:pt>
                <c:pt idx="28">
                  <c:v>477</c:v>
                </c:pt>
                <c:pt idx="29">
                  <c:v>438</c:v>
                </c:pt>
                <c:pt idx="30">
                  <c:v>482</c:v>
                </c:pt>
                <c:pt idx="31">
                  <c:v>530</c:v>
                </c:pt>
              </c:numCache>
            </c:numRef>
          </c:val>
          <c:extLst>
            <c:ext xmlns:c16="http://schemas.microsoft.com/office/drawing/2014/chart" uri="{C3380CC4-5D6E-409C-BE32-E72D297353CC}">
              <c16:uniqueId val="{00000001-E36D-434C-B3BF-7F430BCC932D}"/>
            </c:ext>
          </c:extLst>
        </c:ser>
        <c:dLbls>
          <c:showLegendKey val="0"/>
          <c:showVal val="0"/>
          <c:showCatName val="0"/>
          <c:showSerName val="0"/>
          <c:showPercent val="0"/>
          <c:showBubbleSize val="0"/>
        </c:dLbls>
        <c:axId val="613289912"/>
        <c:axId val="613290304"/>
      </c:areaChart>
      <c:dateAx>
        <c:axId val="613289912"/>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13290304"/>
        <c:crosses val="autoZero"/>
        <c:auto val="0"/>
        <c:lblOffset val="100"/>
        <c:baseTimeUnit val="days"/>
      </c:dateAx>
      <c:valAx>
        <c:axId val="61329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1328991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99619437551291"/>
          <c:y val="0.10576248018854316"/>
          <c:w val="0.82578831804252206"/>
          <c:h val="0.74845250775081951"/>
        </c:manualLayout>
      </c:layout>
      <c:areaChart>
        <c:grouping val="stacked"/>
        <c:varyColors val="0"/>
        <c:ser>
          <c:idx val="0"/>
          <c:order val="0"/>
          <c:tx>
            <c:strRef>
              <c:f>'Data till figurer'!$U$3</c:f>
              <c:strCache>
                <c:ptCount val="1"/>
                <c:pt idx="0">
                  <c:v>Persontrafik</c:v>
                </c:pt>
              </c:strCache>
            </c:strRef>
          </c:tx>
          <c:spPr>
            <a:solidFill>
              <a:srgbClr val="52AF32"/>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figurer'!$U$4:$U$40</c:f>
              <c:numCache>
                <c:formatCode>#,##0</c:formatCode>
                <c:ptCount val="37"/>
                <c:pt idx="0">
                  <c:v>62.067999999999998</c:v>
                </c:pt>
                <c:pt idx="1">
                  <c:v>61.706000000000003</c:v>
                </c:pt>
                <c:pt idx="2">
                  <c:v>62.555</c:v>
                </c:pt>
                <c:pt idx="3">
                  <c:v>62.124000000000002</c:v>
                </c:pt>
                <c:pt idx="4">
                  <c:v>62.567999999999998</c:v>
                </c:pt>
                <c:pt idx="5">
                  <c:v>64.157899999999998</c:v>
                </c:pt>
                <c:pt idx="6">
                  <c:v>67.382000000000005</c:v>
                </c:pt>
                <c:pt idx="7">
                  <c:v>69.148750000000007</c:v>
                </c:pt>
                <c:pt idx="8">
                  <c:v>69.285325999999998</c:v>
                </c:pt>
                <c:pt idx="9">
                  <c:v>71.856899999999996</c:v>
                </c:pt>
                <c:pt idx="10">
                  <c:v>77.275000000000006</c:v>
                </c:pt>
                <c:pt idx="11">
                  <c:v>83.481999999999999</c:v>
                </c:pt>
                <c:pt idx="12">
                  <c:v>85.881</c:v>
                </c:pt>
                <c:pt idx="13">
                  <c:v>87.880689176470568</c:v>
                </c:pt>
                <c:pt idx="14">
                  <c:v>85.806103999999991</c:v>
                </c:pt>
                <c:pt idx="15">
                  <c:v>83.817799999999991</c:v>
                </c:pt>
                <c:pt idx="16">
                  <c:v>85.995510999999979</c:v>
                </c:pt>
                <c:pt idx="17">
                  <c:v>90.441636000000003</c:v>
                </c:pt>
                <c:pt idx="18">
                  <c:v>94.794897000000006</c:v>
                </c:pt>
                <c:pt idx="19">
                  <c:v>95.394100000000009</c:v>
                </c:pt>
                <c:pt idx="20">
                  <c:v>98.134785991400008</c:v>
                </c:pt>
                <c:pt idx="21">
                  <c:v>103.82622145944002</c:v>
                </c:pt>
                <c:pt idx="22">
                  <c:v>106.01145905793118</c:v>
                </c:pt>
                <c:pt idx="23">
                  <c:v>113.03597887699888</c:v>
                </c:pt>
                <c:pt idx="24">
                  <c:v>115.88631711183987</c:v>
                </c:pt>
                <c:pt idx="25">
                  <c:v>117.42195593509987</c:v>
                </c:pt>
                <c:pt idx="26">
                  <c:v>121.97135261360005</c:v>
                </c:pt>
                <c:pt idx="27">
                  <c:v>123.91414920300281</c:v>
                </c:pt>
                <c:pt idx="28">
                  <c:v>128.89418072599969</c:v>
                </c:pt>
                <c:pt idx="29">
                  <c:v>132.453802</c:v>
                </c:pt>
                <c:pt idx="30">
                  <c:v>116.30215112499998</c:v>
                </c:pt>
                <c:pt idx="31">
                  <c:v>122.86523425699997</c:v>
                </c:pt>
              </c:numCache>
            </c:numRef>
          </c:val>
          <c:extLst>
            <c:ext xmlns:c16="http://schemas.microsoft.com/office/drawing/2014/chart" uri="{C3380CC4-5D6E-409C-BE32-E72D297353CC}">
              <c16:uniqueId val="{00000000-19FD-47DA-A4FA-5030F479C6A5}"/>
            </c:ext>
          </c:extLst>
        </c:ser>
        <c:ser>
          <c:idx val="1"/>
          <c:order val="1"/>
          <c:tx>
            <c:strRef>
              <c:f>'Data till figurer'!$V$3</c:f>
              <c:strCache>
                <c:ptCount val="1"/>
                <c:pt idx="0">
                  <c:v>Godstrafik</c:v>
                </c:pt>
              </c:strCache>
            </c:strRef>
          </c:tx>
          <c:spPr>
            <a:solidFill>
              <a:srgbClr val="52AF32">
                <a:alpha val="60000"/>
              </a:srgbClr>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figurer'!$V$4:$V$40</c:f>
              <c:numCache>
                <c:formatCode>#,##0</c:formatCode>
                <c:ptCount val="37"/>
                <c:pt idx="0">
                  <c:v>40.750999999999998</c:v>
                </c:pt>
                <c:pt idx="1">
                  <c:v>39.140500000000003</c:v>
                </c:pt>
                <c:pt idx="2">
                  <c:v>36.668999999999997</c:v>
                </c:pt>
                <c:pt idx="3">
                  <c:v>37.414999999999999</c:v>
                </c:pt>
                <c:pt idx="4">
                  <c:v>38.387099999999997</c:v>
                </c:pt>
                <c:pt idx="5">
                  <c:v>40.419351999999996</c:v>
                </c:pt>
                <c:pt idx="6">
                  <c:v>38.209060000000001</c:v>
                </c:pt>
                <c:pt idx="7">
                  <c:v>36.633901999999999</c:v>
                </c:pt>
                <c:pt idx="8">
                  <c:v>37.240569999999998</c:v>
                </c:pt>
                <c:pt idx="9">
                  <c:v>37.57949</c:v>
                </c:pt>
                <c:pt idx="10">
                  <c:v>38.928695999999995</c:v>
                </c:pt>
                <c:pt idx="11">
                  <c:v>39.198</c:v>
                </c:pt>
                <c:pt idx="12">
                  <c:v>38.858919999999998</c:v>
                </c:pt>
                <c:pt idx="13">
                  <c:v>39.428888666666666</c:v>
                </c:pt>
                <c:pt idx="14">
                  <c:v>41.895603666666666</c:v>
                </c:pt>
                <c:pt idx="15">
                  <c:v>43.865128366666667</c:v>
                </c:pt>
                <c:pt idx="16">
                  <c:v>45.455603799999999</c:v>
                </c:pt>
                <c:pt idx="17">
                  <c:v>45.462657666666665</c:v>
                </c:pt>
                <c:pt idx="18">
                  <c:v>47.673313870000001</c:v>
                </c:pt>
                <c:pt idx="19">
                  <c:v>40.418275000000001</c:v>
                </c:pt>
                <c:pt idx="20">
                  <c:v>42.447129000000004</c:v>
                </c:pt>
                <c:pt idx="21">
                  <c:v>43.364400000000003</c:v>
                </c:pt>
                <c:pt idx="22">
                  <c:v>39.719244967034392</c:v>
                </c:pt>
                <c:pt idx="23">
                  <c:v>38.149238695800001</c:v>
                </c:pt>
                <c:pt idx="24">
                  <c:v>37.097647112019999</c:v>
                </c:pt>
                <c:pt idx="25">
                  <c:v>35.458264678984769</c:v>
                </c:pt>
                <c:pt idx="26">
                  <c:v>35.751831860129968</c:v>
                </c:pt>
                <c:pt idx="27">
                  <c:v>36.469474495</c:v>
                </c:pt>
                <c:pt idx="28">
                  <c:v>36.200953296999991</c:v>
                </c:pt>
                <c:pt idx="29">
                  <c:v>35.601416407229351</c:v>
                </c:pt>
                <c:pt idx="30">
                  <c:v>35.050802857999997</c:v>
                </c:pt>
                <c:pt idx="31">
                  <c:v>36.316247604009959</c:v>
                </c:pt>
              </c:numCache>
            </c:numRef>
          </c:val>
          <c:extLst>
            <c:ext xmlns:c16="http://schemas.microsoft.com/office/drawing/2014/chart" uri="{C3380CC4-5D6E-409C-BE32-E72D297353CC}">
              <c16:uniqueId val="{00000001-19FD-47DA-A4FA-5030F479C6A5}"/>
            </c:ext>
          </c:extLst>
        </c:ser>
        <c:dLbls>
          <c:showLegendKey val="0"/>
          <c:showVal val="0"/>
          <c:showCatName val="0"/>
          <c:showSerName val="0"/>
          <c:showPercent val="0"/>
          <c:showBubbleSize val="0"/>
        </c:dLbls>
        <c:axId val="613291480"/>
        <c:axId val="613292264"/>
      </c:areaChart>
      <c:dateAx>
        <c:axId val="613291480"/>
        <c:scaling>
          <c:orientation val="minMax"/>
        </c:scaling>
        <c:delete val="0"/>
        <c:axPos val="b"/>
        <c:numFmt formatCode="General" sourceLinked="1"/>
        <c:majorTickMark val="none"/>
        <c:minorTickMark val="out"/>
        <c:tickLblPos val="low"/>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13292264"/>
        <c:crosses val="autoZero"/>
        <c:auto val="0"/>
        <c:lblOffset val="100"/>
        <c:baseTimeUnit val="days"/>
        <c:majorUnit val="1"/>
        <c:majorTimeUnit val="days"/>
      </c:dateAx>
      <c:valAx>
        <c:axId val="613292264"/>
        <c:scaling>
          <c:orientation val="minMax"/>
          <c:max val="18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1329148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00694277946855"/>
          <c:y val="0.11712934272325681"/>
          <c:w val="0.83066843663499768"/>
          <c:h val="0.72536532380163732"/>
        </c:manualLayout>
      </c:layout>
      <c:areaChart>
        <c:grouping val="stacked"/>
        <c:varyColors val="0"/>
        <c:ser>
          <c:idx val="1"/>
          <c:order val="0"/>
          <c:tx>
            <c:strRef>
              <c:f>'Data till figurer'!$X$3</c:f>
              <c:strCache>
                <c:ptCount val="1"/>
                <c:pt idx="0">
                  <c:v>Platskilometer</c:v>
                </c:pt>
              </c:strCache>
            </c:strRef>
          </c:tx>
          <c:spPr>
            <a:solidFill>
              <a:srgbClr val="52AF32"/>
            </a:solidFill>
            <a:ln>
              <a:noFill/>
            </a:ln>
            <a:effectLst/>
          </c:spP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figurer'!$X$4:$X$40</c:f>
              <c:numCache>
                <c:formatCode>#,##0</c:formatCode>
                <c:ptCount val="37"/>
                <c:pt idx="0">
                  <c:v>17156.5</c:v>
                </c:pt>
                <c:pt idx="1">
                  <c:v>16871</c:v>
                </c:pt>
                <c:pt idx="2">
                  <c:v>16969</c:v>
                </c:pt>
                <c:pt idx="3">
                  <c:v>16371.856</c:v>
                </c:pt>
                <c:pt idx="4">
                  <c:v>17227.356</c:v>
                </c:pt>
                <c:pt idx="5">
                  <c:v>17425.629866666666</c:v>
                </c:pt>
                <c:pt idx="6">
                  <c:v>18422.576972800001</c:v>
                </c:pt>
                <c:pt idx="7">
                  <c:v>18300.329581472728</c:v>
                </c:pt>
                <c:pt idx="8">
                  <c:v>17802</c:v>
                </c:pt>
                <c:pt idx="9">
                  <c:v>18641.66</c:v>
                </c:pt>
                <c:pt idx="10">
                  <c:v>20540.894099999998</c:v>
                </c:pt>
                <c:pt idx="11">
                  <c:v>21759.9941</c:v>
                </c:pt>
                <c:pt idx="12">
                  <c:v>22779.200000000001</c:v>
                </c:pt>
                <c:pt idx="13">
                  <c:v>23224.554901960786</c:v>
                </c:pt>
                <c:pt idx="14">
                  <c:v>22998.749048000005</c:v>
                </c:pt>
                <c:pt idx="15">
                  <c:v>22448.2</c:v>
                </c:pt>
                <c:pt idx="16">
                  <c:v>23604.420300008998</c:v>
                </c:pt>
                <c:pt idx="17">
                  <c:v>24956.940159999998</c:v>
                </c:pt>
                <c:pt idx="18">
                  <c:v>26586.804999999997</c:v>
                </c:pt>
                <c:pt idx="19">
                  <c:v>27331.091999999997</c:v>
                </c:pt>
                <c:pt idx="20">
                  <c:v>27758.833678403713</c:v>
                </c:pt>
                <c:pt idx="21">
                  <c:v>29898.5316276101</c:v>
                </c:pt>
                <c:pt idx="22">
                  <c:v>30758.211643537652</c:v>
                </c:pt>
                <c:pt idx="23">
                  <c:v>33474.00020997371</c:v>
                </c:pt>
                <c:pt idx="24">
                  <c:v>34272.317332494487</c:v>
                </c:pt>
                <c:pt idx="25">
                  <c:v>34896.27273160193</c:v>
                </c:pt>
                <c:pt idx="26">
                  <c:v>36050.714068450841</c:v>
                </c:pt>
                <c:pt idx="27">
                  <c:v>36680.393392788967</c:v>
                </c:pt>
                <c:pt idx="28">
                  <c:v>37740.74370429846</c:v>
                </c:pt>
                <c:pt idx="29">
                  <c:v>38841.255991031394</c:v>
                </c:pt>
                <c:pt idx="30">
                  <c:v>35943.911951567919</c:v>
                </c:pt>
                <c:pt idx="31">
                  <c:v>37890.85754993766</c:v>
                </c:pt>
              </c:numCache>
            </c:numRef>
          </c:val>
          <c:extLst>
            <c:ext xmlns:c16="http://schemas.microsoft.com/office/drawing/2014/chart" uri="{C3380CC4-5D6E-409C-BE32-E72D297353CC}">
              <c16:uniqueId val="{00000000-CAF8-4911-A8E3-A5953A7E228A}"/>
            </c:ext>
          </c:extLst>
        </c:ser>
        <c:dLbls>
          <c:showLegendKey val="0"/>
          <c:showVal val="0"/>
          <c:showCatName val="0"/>
          <c:showSerName val="0"/>
          <c:showPercent val="0"/>
          <c:showBubbleSize val="0"/>
        </c:dLbls>
        <c:axId val="531666936"/>
        <c:axId val="531666152"/>
      </c:areaChart>
      <c:dateAx>
        <c:axId val="531666936"/>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1666152"/>
        <c:crosses val="autoZero"/>
        <c:auto val="0"/>
        <c:lblOffset val="100"/>
        <c:baseTimeUnit val="days"/>
        <c:majorUnit val="1"/>
        <c:majorTimeUnit val="days"/>
      </c:dateAx>
      <c:valAx>
        <c:axId val="531666152"/>
        <c:scaling>
          <c:orientation val="minMax"/>
          <c:max val="4000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166693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29663461313387"/>
          <c:y val="0.10576248018854316"/>
          <c:w val="0.82181328255183017"/>
          <c:h val="0.75264579388495001"/>
        </c:manualLayout>
      </c:layout>
      <c:areaChart>
        <c:grouping val="stacked"/>
        <c:varyColors val="0"/>
        <c:ser>
          <c:idx val="0"/>
          <c:order val="0"/>
          <c:tx>
            <c:strRef>
              <c:f>'Data till figurer'!$Z$3</c:f>
              <c:strCache>
                <c:ptCount val="1"/>
                <c:pt idx="0">
                  <c:v>Sittplatskilometer</c:v>
                </c:pt>
              </c:strCache>
            </c:strRef>
          </c:tx>
          <c:spPr>
            <a:solidFill>
              <a:srgbClr val="52AF32"/>
            </a:solidFill>
            <a:ln>
              <a:noFill/>
            </a:ln>
            <a:effectLst/>
          </c:spPr>
          <c:cat>
            <c:numRef>
              <c:f>'Data till figurer'!$A$14:$A$40</c:f>
              <c:numCache>
                <c:formatCode>General</c:formatCod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'Data till figurer'!$Z$14:$Z$40</c:f>
              <c:numCache>
                <c:formatCode>#,##0</c:formatCode>
                <c:ptCount val="27"/>
                <c:pt idx="0">
                  <c:v>811.20044356435642</c:v>
                </c:pt>
                <c:pt idx="1">
                  <c:v>847.81600000000003</c:v>
                </c:pt>
                <c:pt idx="2">
                  <c:v>1025.3800000000001</c:v>
                </c:pt>
                <c:pt idx="3">
                  <c:v>1034.192</c:v>
                </c:pt>
                <c:pt idx="4">
                  <c:v>1040.0540000000001</c:v>
                </c:pt>
                <c:pt idx="5">
                  <c:v>1048.0350000000001</c:v>
                </c:pt>
                <c:pt idx="6">
                  <c:v>1111.8710000000001</c:v>
                </c:pt>
                <c:pt idx="7">
                  <c:v>1161.92</c:v>
                </c:pt>
                <c:pt idx="8">
                  <c:v>1215.1790000000001</c:v>
                </c:pt>
                <c:pt idx="9">
                  <c:v>1288.711</c:v>
                </c:pt>
                <c:pt idx="10">
                  <c:v>1335.4970000000001</c:v>
                </c:pt>
                <c:pt idx="11">
                  <c:v>1379.3450427839998</c:v>
                </c:pt>
                <c:pt idx="12">
                  <c:v>1410.9258606420001</c:v>
                </c:pt>
                <c:pt idx="13">
                  <c:v>1439.7929457395601</c:v>
                </c:pt>
                <c:pt idx="14">
                  <c:v>1421.371607</c:v>
                </c:pt>
                <c:pt idx="15">
                  <c:v>1434.4095774</c:v>
                </c:pt>
                <c:pt idx="16">
                  <c:v>1488.3398419999999</c:v>
                </c:pt>
                <c:pt idx="17">
                  <c:v>1440.0590569999999</c:v>
                </c:pt>
                <c:pt idx="18">
                  <c:v>1574.465876</c:v>
                </c:pt>
                <c:pt idx="19">
                  <c:v>1589.1005660000001</c:v>
                </c:pt>
                <c:pt idx="20">
                  <c:v>1556.3331070000002</c:v>
                </c:pt>
                <c:pt idx="21">
                  <c:v>1603.894769</c:v>
                </c:pt>
              </c:numCache>
            </c:numRef>
          </c:val>
          <c:extLst>
            <c:ext xmlns:c16="http://schemas.microsoft.com/office/drawing/2014/chart" uri="{C3380CC4-5D6E-409C-BE32-E72D297353CC}">
              <c16:uniqueId val="{00000000-C74E-4258-B565-81DD7CC57121}"/>
            </c:ext>
          </c:extLst>
        </c:ser>
        <c:ser>
          <c:idx val="1"/>
          <c:order val="1"/>
          <c:tx>
            <c:strRef>
              <c:f>'Data till figurer'!$AA$3</c:f>
              <c:strCache>
                <c:ptCount val="1"/>
                <c:pt idx="0">
                  <c:v>Ståplatskilometer</c:v>
                </c:pt>
              </c:strCache>
            </c:strRef>
          </c:tx>
          <c:spPr>
            <a:solidFill>
              <a:srgbClr val="52AF32">
                <a:alpha val="60000"/>
              </a:srgbClr>
            </a:solidFill>
            <a:ln>
              <a:noFill/>
            </a:ln>
            <a:effectLst/>
          </c:spPr>
          <c:cat>
            <c:numRef>
              <c:f>'Data till figurer'!$A$14:$A$40</c:f>
              <c:numCache>
                <c:formatCode>General</c:formatCod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'Data till figurer'!$AA$14:$AA$40</c:f>
              <c:numCache>
                <c:formatCode>#,##0</c:formatCode>
                <c:ptCount val="27"/>
                <c:pt idx="0">
                  <c:v>1451.4505782178219</c:v>
                </c:pt>
                <c:pt idx="1">
                  <c:v>1470.9590000000001</c:v>
                </c:pt>
                <c:pt idx="2">
                  <c:v>1705.6669999999999</c:v>
                </c:pt>
                <c:pt idx="3">
                  <c:v>1668.3969999999999</c:v>
                </c:pt>
                <c:pt idx="4">
                  <c:v>1654.2280000000001</c:v>
                </c:pt>
                <c:pt idx="5">
                  <c:v>1668.566</c:v>
                </c:pt>
                <c:pt idx="6">
                  <c:v>1767.1849999999999</c:v>
                </c:pt>
                <c:pt idx="7">
                  <c:v>1836.048</c:v>
                </c:pt>
                <c:pt idx="8">
                  <c:v>1909.23</c:v>
                </c:pt>
                <c:pt idx="9">
                  <c:v>2016.54</c:v>
                </c:pt>
                <c:pt idx="10">
                  <c:v>2083.4839999999999</c:v>
                </c:pt>
                <c:pt idx="11">
                  <c:v>2161.796072572</c:v>
                </c:pt>
                <c:pt idx="12">
                  <c:v>2187.1256365949998</c:v>
                </c:pt>
                <c:pt idx="13">
                  <c:v>2258.47762709366</c:v>
                </c:pt>
                <c:pt idx="14">
                  <c:v>2214.7073270000001</c:v>
                </c:pt>
                <c:pt idx="15">
                  <c:v>2232.3856052880001</c:v>
                </c:pt>
                <c:pt idx="16">
                  <c:v>2403.0425329999998</c:v>
                </c:pt>
                <c:pt idx="17">
                  <c:v>2286.772148</c:v>
                </c:pt>
                <c:pt idx="18">
                  <c:v>2560.7437049999999</c:v>
                </c:pt>
                <c:pt idx="19">
                  <c:v>2601.904751</c:v>
                </c:pt>
                <c:pt idx="20">
                  <c:v>2525.6549490000002</c:v>
                </c:pt>
                <c:pt idx="21">
                  <c:v>2634.0333900000001</c:v>
                </c:pt>
              </c:numCache>
            </c:numRef>
          </c:val>
          <c:extLst>
            <c:ext xmlns:c16="http://schemas.microsoft.com/office/drawing/2014/chart" uri="{C3380CC4-5D6E-409C-BE32-E72D297353CC}">
              <c16:uniqueId val="{00000001-C74E-4258-B565-81DD7CC57121}"/>
            </c:ext>
          </c:extLst>
        </c:ser>
        <c:dLbls>
          <c:showLegendKey val="0"/>
          <c:showVal val="0"/>
          <c:showCatName val="0"/>
          <c:showSerName val="0"/>
          <c:showPercent val="0"/>
          <c:showBubbleSize val="0"/>
        </c:dLbls>
        <c:axId val="531667328"/>
        <c:axId val="531666544"/>
      </c:areaChart>
      <c:dateAx>
        <c:axId val="531667328"/>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1666544"/>
        <c:crosses val="autoZero"/>
        <c:auto val="0"/>
        <c:lblOffset val="100"/>
        <c:baseTimeUnit val="days"/>
      </c:dateAx>
      <c:valAx>
        <c:axId val="53166654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166732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3381663814722"/>
          <c:y val="0.10576248018854316"/>
          <c:w val="0.81928323852806817"/>
          <c:h val="0.71393026009171534"/>
        </c:manualLayout>
      </c:layout>
      <c:areaChart>
        <c:grouping val="stacked"/>
        <c:varyColors val="0"/>
        <c:ser>
          <c:idx val="0"/>
          <c:order val="0"/>
          <c:tx>
            <c:strRef>
              <c:f>'Data till figurer'!$AC$3</c:f>
              <c:strCache>
                <c:ptCount val="1"/>
                <c:pt idx="0">
                  <c:v>Sittplatskilometer</c:v>
                </c:pt>
              </c:strCache>
            </c:strRef>
          </c:tx>
          <c:spPr>
            <a:solidFill>
              <a:srgbClr val="52AF32"/>
            </a:solidFill>
            <a:ln>
              <a:no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figurer'!$AC$11:$AC$40</c:f>
              <c:numCache>
                <c:formatCode>#,##0</c:formatCode>
                <c:ptCount val="30"/>
                <c:pt idx="0">
                  <c:v>4083</c:v>
                </c:pt>
                <c:pt idx="1">
                  <c:v>4110</c:v>
                </c:pt>
                <c:pt idx="2">
                  <c:v>4209</c:v>
                </c:pt>
                <c:pt idx="3">
                  <c:v>4168</c:v>
                </c:pt>
                <c:pt idx="4">
                  <c:v>4236</c:v>
                </c:pt>
                <c:pt idx="5">
                  <c:v>4270</c:v>
                </c:pt>
                <c:pt idx="6">
                  <c:v>4253</c:v>
                </c:pt>
                <c:pt idx="7">
                  <c:v>4305</c:v>
                </c:pt>
                <c:pt idx="8">
                  <c:v>4390.9284318453101</c:v>
                </c:pt>
                <c:pt idx="9">
                  <c:v>4579.0975092556801</c:v>
                </c:pt>
                <c:pt idx="10">
                  <c:v>4367</c:v>
                </c:pt>
                <c:pt idx="11">
                  <c:v>4289</c:v>
                </c:pt>
                <c:pt idx="12">
                  <c:v>4394.6400000000003</c:v>
                </c:pt>
                <c:pt idx="13">
                  <c:v>4269</c:v>
                </c:pt>
                <c:pt idx="14">
                  <c:v>4244</c:v>
                </c:pt>
                <c:pt idx="15">
                  <c:v>4379.5691939999997</c:v>
                </c:pt>
                <c:pt idx="16">
                  <c:v>4417.3346519999996</c:v>
                </c:pt>
                <c:pt idx="17">
                  <c:v>4503.6343559999996</c:v>
                </c:pt>
                <c:pt idx="18">
                  <c:v>4608.3596580000003</c:v>
                </c:pt>
                <c:pt idx="19">
                  <c:v>4606</c:v>
                </c:pt>
                <c:pt idx="20">
                  <c:v>4682.7294193757079</c:v>
                </c:pt>
                <c:pt idx="21">
                  <c:v>4693.2650816755622</c:v>
                </c:pt>
                <c:pt idx="22">
                  <c:v>4612.7045123726302</c:v>
                </c:pt>
                <c:pt idx="23">
                  <c:v>4717.9547145398683</c:v>
                </c:pt>
                <c:pt idx="24">
                  <c:v>4586</c:v>
                </c:pt>
              </c:numCache>
            </c:numRef>
          </c:val>
          <c:extLst>
            <c:ext xmlns:c16="http://schemas.microsoft.com/office/drawing/2014/chart" uri="{C3380CC4-5D6E-409C-BE32-E72D297353CC}">
              <c16:uniqueId val="{00000000-77E4-41D2-BFE0-6D9C1D172B76}"/>
            </c:ext>
          </c:extLst>
        </c:ser>
        <c:ser>
          <c:idx val="1"/>
          <c:order val="1"/>
          <c:tx>
            <c:strRef>
              <c:f>'Data till figurer'!$AD$3</c:f>
              <c:strCache>
                <c:ptCount val="1"/>
                <c:pt idx="0">
                  <c:v>Ståplatskilometer</c:v>
                </c:pt>
              </c:strCache>
            </c:strRef>
          </c:tx>
          <c:spPr>
            <a:solidFill>
              <a:srgbClr val="52AF32">
                <a:alpha val="60000"/>
              </a:srgbClr>
            </a:solidFill>
            <a:ln>
              <a:solidFill>
                <a:srgbClr val="52AF32">
                  <a:alpha val="60000"/>
                </a:srgbClr>
              </a:solidFill>
            </a:ln>
            <a:effectLst/>
          </c:spPr>
          <c:cat>
            <c:numRef>
              <c:f>'Data till figurer'!$A$11:$A$40</c:f>
              <c:numCache>
                <c:formatCode>General</c:formatCode>
                <c:ptCount val="30"/>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numCache>
            </c:numRef>
          </c:cat>
          <c:val>
            <c:numRef>
              <c:f>'Data till figurer'!$AD$11:$AD$40</c:f>
              <c:numCache>
                <c:formatCode>#,##0</c:formatCode>
                <c:ptCount val="30"/>
                <c:pt idx="0">
                  <c:v>10888</c:v>
                </c:pt>
                <c:pt idx="1">
                  <c:v>10963</c:v>
                </c:pt>
                <c:pt idx="2">
                  <c:v>9564</c:v>
                </c:pt>
                <c:pt idx="3">
                  <c:v>9467</c:v>
                </c:pt>
                <c:pt idx="4">
                  <c:v>9660</c:v>
                </c:pt>
                <c:pt idx="5">
                  <c:v>9535</c:v>
                </c:pt>
                <c:pt idx="6">
                  <c:v>8841</c:v>
                </c:pt>
                <c:pt idx="7">
                  <c:v>8894</c:v>
                </c:pt>
                <c:pt idx="8">
                  <c:v>9071.5255453733407</c:v>
                </c:pt>
                <c:pt idx="9">
                  <c:v>9539.7864776160004</c:v>
                </c:pt>
                <c:pt idx="10">
                  <c:v>9291</c:v>
                </c:pt>
                <c:pt idx="11">
                  <c:v>9811</c:v>
                </c:pt>
                <c:pt idx="12">
                  <c:v>9936.2099999999991</c:v>
                </c:pt>
                <c:pt idx="13">
                  <c:v>9313</c:v>
                </c:pt>
                <c:pt idx="14">
                  <c:v>9256</c:v>
                </c:pt>
                <c:pt idx="15">
                  <c:v>9553.1512180000009</c:v>
                </c:pt>
                <c:pt idx="16">
                  <c:v>9639.8446039999981</c:v>
                </c:pt>
                <c:pt idx="17">
                  <c:v>9830.7244520000004</c:v>
                </c:pt>
                <c:pt idx="18">
                  <c:v>10450.443238</c:v>
                </c:pt>
                <c:pt idx="19">
                  <c:v>10444</c:v>
                </c:pt>
                <c:pt idx="20">
                  <c:v>10617.98220928352</c:v>
                </c:pt>
                <c:pt idx="21">
                  <c:v>10641.871583373766</c:v>
                </c:pt>
                <c:pt idx="22">
                  <c:v>10459.202328966499</c:v>
                </c:pt>
                <c:pt idx="23">
                  <c:v>10697.854763060002</c:v>
                </c:pt>
                <c:pt idx="24">
                  <c:v>10695</c:v>
                </c:pt>
              </c:numCache>
            </c:numRef>
          </c:val>
          <c:extLst>
            <c:ext xmlns:c16="http://schemas.microsoft.com/office/drawing/2014/chart" uri="{C3380CC4-5D6E-409C-BE32-E72D297353CC}">
              <c16:uniqueId val="{00000001-77E4-41D2-BFE0-6D9C1D172B76}"/>
            </c:ext>
          </c:extLst>
        </c:ser>
        <c:dLbls>
          <c:showLegendKey val="0"/>
          <c:showVal val="0"/>
          <c:showCatName val="0"/>
          <c:showSerName val="0"/>
          <c:showPercent val="0"/>
          <c:showBubbleSize val="0"/>
        </c:dLbls>
        <c:axId val="531668112"/>
        <c:axId val="531665368"/>
      </c:areaChart>
      <c:dateAx>
        <c:axId val="531668112"/>
        <c:scaling>
          <c:orientation val="minMax"/>
        </c:scaling>
        <c:delete val="0"/>
        <c:axPos val="b"/>
        <c:numFmt formatCode="General" sourceLinked="1"/>
        <c:majorTickMark val="none"/>
        <c:minorTickMark val="out"/>
        <c:tickLblPos val="nextTo"/>
        <c:spPr>
          <a:solidFill>
            <a:schemeClr val="bg1"/>
          </a:solidFill>
          <a:ln w="9525" cap="flat" cmpd="sng" algn="ctr">
            <a:solidFill>
              <a:schemeClr val="tx1"/>
            </a:solidFill>
            <a:round/>
          </a:ln>
          <a:effectLst>
            <a:outerShdw blurRad="50800" dist="50800" dir="5400000" algn="ctr" rotWithShape="0">
              <a:schemeClr val="bg1"/>
            </a:outerShdw>
            <a:softEdge rad="0"/>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1665368"/>
        <c:crosses val="autoZero"/>
        <c:auto val="0"/>
        <c:lblOffset val="100"/>
        <c:baseTimeUnit val="days"/>
      </c:dateAx>
      <c:valAx>
        <c:axId val="5316653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166811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5239487094335"/>
          <c:y val="0.11030922520242863"/>
          <c:w val="0.70009694849796555"/>
          <c:h val="0.73445881382940825"/>
        </c:manualLayout>
      </c:layout>
      <c:lineChart>
        <c:grouping val="standard"/>
        <c:varyColors val="0"/>
        <c:ser>
          <c:idx val="3"/>
          <c:order val="0"/>
          <c:tx>
            <c:strRef>
              <c:f>'Data till figurer'!$AG$3</c:f>
              <c:strCache>
                <c:ptCount val="1"/>
                <c:pt idx="0">
                  <c:v>Transportarbete</c:v>
                </c:pt>
              </c:strCache>
            </c:strRef>
          </c:tx>
          <c:spPr>
            <a:ln w="28575" cap="rnd">
              <a:solidFill>
                <a:srgbClr val="52AF32">
                  <a:alpha val="60000"/>
                </a:srgbClr>
              </a:solidFill>
              <a:round/>
            </a:ln>
            <a:effectLst/>
          </c:spPr>
          <c:marker>
            <c:symbol val="none"/>
          </c:marker>
          <c:cat>
            <c:numRef>
              <c:f>'Data till figurer'!$A$4:$A$40</c:f>
              <c:numCache>
                <c:formatCode>General</c:formatCode>
                <c:ptCount val="37"/>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'Data till figurer'!$AG$4:$AG$40</c:f>
              <c:numCache>
                <c:formatCode>#,##0</c:formatCode>
                <c:ptCount val="37"/>
                <c:pt idx="0">
                  <c:v>19102</c:v>
                </c:pt>
                <c:pt idx="1">
                  <c:v>18816</c:v>
                </c:pt>
                <c:pt idx="2">
                  <c:v>19202</c:v>
                </c:pt>
                <c:pt idx="3">
                  <c:v>18578</c:v>
                </c:pt>
                <c:pt idx="4">
                  <c:v>19069</c:v>
                </c:pt>
                <c:pt idx="5">
                  <c:v>19391</c:v>
                </c:pt>
                <c:pt idx="6">
                  <c:v>18846</c:v>
                </c:pt>
                <c:pt idx="7">
                  <c:v>19181</c:v>
                </c:pt>
                <c:pt idx="8">
                  <c:v>19163</c:v>
                </c:pt>
                <c:pt idx="9">
                  <c:v>19090</c:v>
                </c:pt>
                <c:pt idx="10">
                  <c:v>20083.036625000001</c:v>
                </c:pt>
                <c:pt idx="11">
                  <c:v>19547.320933999999</c:v>
                </c:pt>
                <c:pt idx="12">
                  <c:v>19196.639254000002</c:v>
                </c:pt>
                <c:pt idx="13">
                  <c:v>20169.596828666665</c:v>
                </c:pt>
                <c:pt idx="14">
                  <c:v>20856.236783</c:v>
                </c:pt>
                <c:pt idx="15">
                  <c:v>21674.886677491828</c:v>
                </c:pt>
                <c:pt idx="16">
                  <c:v>22271.432596099214</c:v>
                </c:pt>
                <c:pt idx="17">
                  <c:v>23250.308103429517</c:v>
                </c:pt>
                <c:pt idx="18">
                  <c:v>22923.77228420664</c:v>
                </c:pt>
                <c:pt idx="19">
                  <c:v>20388.782683415666</c:v>
                </c:pt>
                <c:pt idx="20">
                  <c:v>23463.779546863581</c:v>
                </c:pt>
                <c:pt idx="21">
                  <c:v>22864.313674349498</c:v>
                </c:pt>
                <c:pt idx="22">
                  <c:v>22042.639650754358</c:v>
                </c:pt>
                <c:pt idx="23">
                  <c:v>20969.97451140235</c:v>
                </c:pt>
                <c:pt idx="24">
                  <c:v>21296.328419109857</c:v>
                </c:pt>
                <c:pt idx="25">
                  <c:v>20699.316376736151</c:v>
                </c:pt>
                <c:pt idx="26">
                  <c:v>21405.755612759873</c:v>
                </c:pt>
                <c:pt idx="27">
                  <c:v>21838.175764905012</c:v>
                </c:pt>
                <c:pt idx="28">
                  <c:v>22794.306069131799</c:v>
                </c:pt>
                <c:pt idx="29">
                  <c:v>22222.065674494042</c:v>
                </c:pt>
                <c:pt idx="30">
                  <c:v>22093.897979014626</c:v>
                </c:pt>
                <c:pt idx="31">
                  <c:v>23448.887165486929</c:v>
                </c:pt>
              </c:numCache>
            </c:numRef>
          </c:val>
          <c:smooth val="0"/>
          <c:extLst>
            <c:ext xmlns:c16="http://schemas.microsoft.com/office/drawing/2014/chart" uri="{C3380CC4-5D6E-409C-BE32-E72D297353CC}">
              <c16:uniqueId val="{00000000-6EC1-4E76-ADB4-0286790E9E75}"/>
            </c:ext>
          </c:extLst>
        </c:ser>
        <c:dLbls>
          <c:showLegendKey val="0"/>
          <c:showVal val="0"/>
          <c:showCatName val="0"/>
          <c:showSerName val="0"/>
          <c:showPercent val="0"/>
          <c:showBubbleSize val="0"/>
        </c:dLbls>
        <c:marker val="1"/>
        <c:smooth val="0"/>
        <c:axId val="526908936"/>
        <c:axId val="531665760"/>
      </c:lineChart>
      <c:lineChart>
        <c:grouping val="standard"/>
        <c:varyColors val="0"/>
        <c:ser>
          <c:idx val="5"/>
          <c:order val="1"/>
          <c:tx>
            <c:strRef>
              <c:f>'Data till figurer'!$AF$3</c:f>
              <c:strCache>
                <c:ptCount val="1"/>
                <c:pt idx="0">
                  <c:v>Transporterad godsmängd</c:v>
                </c:pt>
              </c:strCache>
            </c:strRef>
          </c:tx>
          <c:spPr>
            <a:ln w="28575" cap="rnd">
              <a:solidFill>
                <a:srgbClr val="52AF32"/>
              </a:solidFill>
              <a:round/>
            </a:ln>
            <a:effectLst/>
          </c:spPr>
          <c:marker>
            <c:symbol val="none"/>
          </c:marker>
          <c:cat>
            <c:numRef>
              <c:f>'Data till figurer'!$A$4:$A$34</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'Data till figurer'!$AF$4:$AF$40</c:f>
              <c:numCache>
                <c:formatCode>#,##0</c:formatCode>
                <c:ptCount val="37"/>
                <c:pt idx="0">
                  <c:v>55575</c:v>
                </c:pt>
                <c:pt idx="1">
                  <c:v>53774</c:v>
                </c:pt>
                <c:pt idx="2">
                  <c:v>50092</c:v>
                </c:pt>
                <c:pt idx="3">
                  <c:v>50277</c:v>
                </c:pt>
                <c:pt idx="4">
                  <c:v>54040</c:v>
                </c:pt>
                <c:pt idx="5">
                  <c:v>56048</c:v>
                </c:pt>
                <c:pt idx="6">
                  <c:v>54197</c:v>
                </c:pt>
                <c:pt idx="7">
                  <c:v>55504</c:v>
                </c:pt>
                <c:pt idx="8">
                  <c:v>54872</c:v>
                </c:pt>
                <c:pt idx="9">
                  <c:v>52380</c:v>
                </c:pt>
                <c:pt idx="10">
                  <c:v>57253.137999999999</c:v>
                </c:pt>
                <c:pt idx="11">
                  <c:v>55205.343999999997</c:v>
                </c:pt>
                <c:pt idx="12">
                  <c:v>54779.626189999995</c:v>
                </c:pt>
                <c:pt idx="13">
                  <c:v>57874.039436666666</c:v>
                </c:pt>
                <c:pt idx="14">
                  <c:v>60157.406900000002</c:v>
                </c:pt>
                <c:pt idx="15">
                  <c:v>63198.091080342543</c:v>
                </c:pt>
                <c:pt idx="16">
                  <c:v>64944.474279999995</c:v>
                </c:pt>
                <c:pt idx="17">
                  <c:v>67808.589775383924</c:v>
                </c:pt>
                <c:pt idx="18">
                  <c:v>65632.261508886673</c:v>
                </c:pt>
                <c:pt idx="19">
                  <c:v>56466.380577999997</c:v>
                </c:pt>
                <c:pt idx="20">
                  <c:v>68328.554950966311</c:v>
                </c:pt>
                <c:pt idx="21">
                  <c:v>67906.684789368461</c:v>
                </c:pt>
                <c:pt idx="22">
                  <c:v>65788.695421429366</c:v>
                </c:pt>
                <c:pt idx="23">
                  <c:v>67046.57778417095</c:v>
                </c:pt>
                <c:pt idx="24">
                  <c:v>68034.889490097543</c:v>
                </c:pt>
                <c:pt idx="25">
                  <c:v>64998.634099142044</c:v>
                </c:pt>
                <c:pt idx="26">
                  <c:v>67478.709408035706</c:v>
                </c:pt>
                <c:pt idx="27">
                  <c:v>69350.257157756132</c:v>
                </c:pt>
                <c:pt idx="28">
                  <c:v>69122.791395014734</c:v>
                </c:pt>
                <c:pt idx="29">
                  <c:v>68220.053795176835</c:v>
                </c:pt>
                <c:pt idx="30">
                  <c:v>69804.992882890889</c:v>
                </c:pt>
                <c:pt idx="31">
                  <c:v>72458.295917848605</c:v>
                </c:pt>
              </c:numCache>
            </c:numRef>
          </c:val>
          <c:smooth val="0"/>
          <c:extLst>
            <c:ext xmlns:c16="http://schemas.microsoft.com/office/drawing/2014/chart" uri="{C3380CC4-5D6E-409C-BE32-E72D297353CC}">
              <c16:uniqueId val="{00000001-6EC1-4E76-ADB4-0286790E9E75}"/>
            </c:ext>
          </c:extLst>
        </c:ser>
        <c:dLbls>
          <c:showLegendKey val="0"/>
          <c:showVal val="0"/>
          <c:showCatName val="0"/>
          <c:showSerName val="0"/>
          <c:showPercent val="0"/>
          <c:showBubbleSize val="0"/>
        </c:dLbls>
        <c:marker val="1"/>
        <c:smooth val="0"/>
        <c:axId val="526905800"/>
        <c:axId val="526907368"/>
      </c:lineChart>
      <c:valAx>
        <c:axId val="531665760"/>
        <c:scaling>
          <c:orientation val="minMax"/>
          <c:max val="80000"/>
          <c:min val="0"/>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26908936"/>
        <c:crosses val="max"/>
        <c:crossBetween val="midCat"/>
      </c:valAx>
      <c:dateAx>
        <c:axId val="526908936"/>
        <c:scaling>
          <c:orientation val="minMax"/>
        </c:scaling>
        <c:delete val="0"/>
        <c:axPos val="b"/>
        <c:numFmt formatCode="General" sourceLinked="1"/>
        <c:majorTickMark val="none"/>
        <c:minorTickMark val="out"/>
        <c:tickLblPos val="nextTo"/>
        <c:spPr>
          <a:noFill/>
          <a:ln w="9525" cap="flat" cmpd="sng" algn="ctr">
            <a:solidFill>
              <a:schemeClr val="tx1"/>
            </a:solidFill>
            <a:round/>
          </a:ln>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31665760"/>
        <c:crosses val="autoZero"/>
        <c:auto val="0"/>
        <c:lblOffset val="100"/>
        <c:baseTimeUnit val="days"/>
        <c:majorUnit val="1"/>
        <c:majorTimeUnit val="days"/>
      </c:dateAx>
      <c:valAx>
        <c:axId val="526907368"/>
        <c:scaling>
          <c:orientation val="minMax"/>
          <c:max val="80000"/>
          <c:min val="0"/>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26905800"/>
        <c:crosses val="autoZero"/>
        <c:crossBetween val="between"/>
        <c:majorUnit val="10000"/>
      </c:valAx>
      <c:catAx>
        <c:axId val="526905800"/>
        <c:scaling>
          <c:orientation val="minMax"/>
        </c:scaling>
        <c:delete val="1"/>
        <c:axPos val="b"/>
        <c:numFmt formatCode="General" sourceLinked="1"/>
        <c:majorTickMark val="none"/>
        <c:minorTickMark val="none"/>
        <c:tickLblPos val="nextTo"/>
        <c:crossAx val="526907368"/>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70650254184758"/>
          <c:y val="0.11030922520242863"/>
          <c:w val="0.7332617417201569"/>
          <c:h val="0.73900555884329366"/>
        </c:manualLayout>
      </c:layout>
      <c:lineChart>
        <c:grouping val="standard"/>
        <c:varyColors val="0"/>
        <c:ser>
          <c:idx val="3"/>
          <c:order val="0"/>
          <c:tx>
            <c:strRef>
              <c:f>'Data till figurer'!$AJ$3</c:f>
              <c:strCache>
                <c:ptCount val="1"/>
                <c:pt idx="0">
                  <c:v>Transportarbete</c:v>
                </c:pt>
              </c:strCache>
            </c:strRef>
          </c:tx>
          <c:spPr>
            <a:ln w="28575" cap="rnd">
              <a:solidFill>
                <a:srgbClr val="52AF32">
                  <a:alpha val="60000"/>
                </a:srgbClr>
              </a:solidFill>
              <a:round/>
            </a:ln>
            <a:effectLst/>
          </c:spPr>
          <c:marker>
            <c:symbol val="none"/>
          </c:marker>
          <c:cat>
            <c:numRef>
              <c:f>'Data till figurer'!$A$14:$A$40</c:f>
              <c:numCache>
                <c:formatCode>General</c:formatCode>
                <c:ptCount val="27"/>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'Data till figurer'!$AJ$14:$AJ$40</c:f>
              <c:numCache>
                <c:formatCode>#,##0</c:formatCode>
                <c:ptCount val="27"/>
                <c:pt idx="0">
                  <c:v>1036.94146</c:v>
                </c:pt>
                <c:pt idx="1">
                  <c:v>993.81582899999978</c:v>
                </c:pt>
                <c:pt idx="2">
                  <c:v>956.0035959999999</c:v>
                </c:pt>
                <c:pt idx="3">
                  <c:v>1007.434727</c:v>
                </c:pt>
                <c:pt idx="4">
                  <c:v>1052.7377629999999</c:v>
                </c:pt>
                <c:pt idx="5">
                  <c:v>1037.4745359999999</c:v>
                </c:pt>
                <c:pt idx="6">
                  <c:v>1042.5942500000001</c:v>
                </c:pt>
                <c:pt idx="7">
                  <c:v>1128.8306800346015</c:v>
                </c:pt>
                <c:pt idx="8">
                  <c:v>1023.9758354593332</c:v>
                </c:pt>
                <c:pt idx="9">
                  <c:v>905.18970246000003</c:v>
                </c:pt>
                <c:pt idx="10">
                  <c:v>1063.228035975</c:v>
                </c:pt>
                <c:pt idx="11">
                  <c:v>1376.5875713989951</c:v>
                </c:pt>
                <c:pt idx="12">
                  <c:v>1531.8270137056804</c:v>
                </c:pt>
                <c:pt idx="13">
                  <c:v>1523.5371069319185</c:v>
                </c:pt>
                <c:pt idx="14">
                  <c:v>1562.3134355113332</c:v>
                </c:pt>
                <c:pt idx="15">
                  <c:v>1565.2876496241663</c:v>
                </c:pt>
                <c:pt idx="16">
                  <c:v>1578.651398088394</c:v>
                </c:pt>
                <c:pt idx="17">
                  <c:v>1496.4171435920334</c:v>
                </c:pt>
                <c:pt idx="18">
                  <c:v>1795.3453783407081</c:v>
                </c:pt>
                <c:pt idx="19">
                  <c:v>1402.2004917659026</c:v>
                </c:pt>
                <c:pt idx="20">
                  <c:v>1148.97585451186</c:v>
                </c:pt>
                <c:pt idx="21">
                  <c:v>1816.009002763604</c:v>
                </c:pt>
              </c:numCache>
            </c:numRef>
          </c:val>
          <c:smooth val="0"/>
          <c:extLst>
            <c:ext xmlns:c16="http://schemas.microsoft.com/office/drawing/2014/chart" uri="{C3380CC4-5D6E-409C-BE32-E72D297353CC}">
              <c16:uniqueId val="{00000000-623C-4787-9CD5-AD1E2C8A2680}"/>
            </c:ext>
          </c:extLst>
        </c:ser>
        <c:dLbls>
          <c:showLegendKey val="0"/>
          <c:showVal val="0"/>
          <c:showCatName val="0"/>
          <c:showSerName val="0"/>
          <c:showPercent val="0"/>
          <c:showBubbleSize val="0"/>
        </c:dLbls>
        <c:marker val="1"/>
        <c:smooth val="0"/>
        <c:axId val="526906584"/>
        <c:axId val="526906192"/>
      </c:lineChart>
      <c:lineChart>
        <c:grouping val="standard"/>
        <c:varyColors val="0"/>
        <c:ser>
          <c:idx val="5"/>
          <c:order val="1"/>
          <c:tx>
            <c:strRef>
              <c:f>'Data till figurer'!$AI$3</c:f>
              <c:strCache>
                <c:ptCount val="1"/>
                <c:pt idx="0">
                  <c:v>Transporterad godsmängd</c:v>
                </c:pt>
              </c:strCache>
            </c:strRef>
          </c:tx>
          <c:spPr>
            <a:ln w="28575" cap="rnd">
              <a:solidFill>
                <a:srgbClr val="52AF32"/>
              </a:solidFill>
              <a:round/>
            </a:ln>
            <a:effectLst/>
          </c:spPr>
          <c:marker>
            <c:symbol val="none"/>
          </c:marker>
          <c:cat>
            <c:numRef>
              <c:f>'Data till figurer'!$A$14:$A$34</c:f>
              <c:numCache>
                <c:formatCode>General</c:formatCode>
                <c:ptCount val="21"/>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numCache>
            </c:numRef>
          </c:cat>
          <c:val>
            <c:numRef>
              <c:f>'Data till figurer'!$AI$14:$AI$40</c:f>
              <c:numCache>
                <c:formatCode>#,##0</c:formatCode>
                <c:ptCount val="27"/>
                <c:pt idx="0">
                  <c:v>2101.585</c:v>
                </c:pt>
                <c:pt idx="1">
                  <c:v>2038.0550000000001</c:v>
                </c:pt>
                <c:pt idx="2">
                  <c:v>2005.6679999999999</c:v>
                </c:pt>
                <c:pt idx="3">
                  <c:v>2238.9530099999997</c:v>
                </c:pt>
                <c:pt idx="4">
                  <c:v>2434.5704799999999</c:v>
                </c:pt>
                <c:pt idx="5">
                  <c:v>2389.2421900000013</c:v>
                </c:pt>
                <c:pt idx="6">
                  <c:v>2432.5627200000008</c:v>
                </c:pt>
                <c:pt idx="7">
                  <c:v>2924.9429999999998</c:v>
                </c:pt>
                <c:pt idx="8">
                  <c:v>2742.8425964666676</c:v>
                </c:pt>
                <c:pt idx="9">
                  <c:v>2464.0079700000006</c:v>
                </c:pt>
                <c:pt idx="10">
                  <c:v>2712.5726700000005</c:v>
                </c:pt>
                <c:pt idx="11">
                  <c:v>3214.6746617698018</c:v>
                </c:pt>
                <c:pt idx="12">
                  <c:v>3233.1480883782806</c:v>
                </c:pt>
                <c:pt idx="13">
                  <c:v>3209.370626247457</c:v>
                </c:pt>
                <c:pt idx="14">
                  <c:v>3274.56329333333</c:v>
                </c:pt>
                <c:pt idx="15">
                  <c:v>3384.4087391666667</c:v>
                </c:pt>
                <c:pt idx="16">
                  <c:v>3550.386630132452</c:v>
                </c:pt>
                <c:pt idx="17">
                  <c:v>3590.033631773395</c:v>
                </c:pt>
                <c:pt idx="18">
                  <c:v>3782.1758456480761</c:v>
                </c:pt>
                <c:pt idx="19">
                  <c:v>3615.8191853333328</c:v>
                </c:pt>
                <c:pt idx="20">
                  <c:v>3025.1578562397299</c:v>
                </c:pt>
                <c:pt idx="21">
                  <c:v>3536.0419120660004</c:v>
                </c:pt>
              </c:numCache>
            </c:numRef>
          </c:val>
          <c:smooth val="0"/>
          <c:extLst>
            <c:ext xmlns:c16="http://schemas.microsoft.com/office/drawing/2014/chart" uri="{C3380CC4-5D6E-409C-BE32-E72D297353CC}">
              <c16:uniqueId val="{00000001-623C-4787-9CD5-AD1E2C8A2680}"/>
            </c:ext>
          </c:extLst>
        </c:ser>
        <c:dLbls>
          <c:showLegendKey val="0"/>
          <c:showVal val="0"/>
          <c:showCatName val="0"/>
          <c:showSerName val="0"/>
          <c:showPercent val="0"/>
          <c:showBubbleSize val="0"/>
        </c:dLbls>
        <c:marker val="1"/>
        <c:smooth val="0"/>
        <c:axId val="526908544"/>
        <c:axId val="526906976"/>
      </c:lineChart>
      <c:valAx>
        <c:axId val="526906192"/>
        <c:scaling>
          <c:orientation val="minMax"/>
          <c:max val="4000"/>
          <c:min val="0"/>
        </c:scaling>
        <c:delete val="0"/>
        <c:axPos val="r"/>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26906584"/>
        <c:crosses val="max"/>
        <c:crossBetween val="midCat"/>
      </c:valAx>
      <c:dateAx>
        <c:axId val="526906584"/>
        <c:scaling>
          <c:orientation val="minMax"/>
        </c:scaling>
        <c:delete val="0"/>
        <c:axPos val="b"/>
        <c:numFmt formatCode="General" sourceLinked="1"/>
        <c:majorTickMark val="none"/>
        <c:minorTickMark val="out"/>
        <c:tickLblPos val="nextTo"/>
        <c:spPr>
          <a:noFill/>
          <a:ln w="9525" cap="flat" cmpd="sng" algn="ctr">
            <a:solidFill>
              <a:schemeClr val="tx1"/>
            </a:solidFill>
            <a:round/>
          </a:ln>
          <a:effectLst/>
        </c:spPr>
        <c:txPr>
          <a:bodyPr rot="5400000" spcFirstLastPara="1" vertOverflow="ellipsis"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26906192"/>
        <c:crosses val="autoZero"/>
        <c:auto val="0"/>
        <c:lblOffset val="100"/>
        <c:baseTimeUnit val="days"/>
      </c:dateAx>
      <c:valAx>
        <c:axId val="526906976"/>
        <c:scaling>
          <c:orientation val="minMax"/>
          <c:max val="4000"/>
          <c:min val="0"/>
        </c:scaling>
        <c:delete val="0"/>
        <c:axPos val="l"/>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26908544"/>
        <c:crosses val="autoZero"/>
        <c:crossBetween val="between"/>
        <c:majorUnit val="500"/>
      </c:valAx>
      <c:catAx>
        <c:axId val="526908544"/>
        <c:scaling>
          <c:orientation val="minMax"/>
        </c:scaling>
        <c:delete val="1"/>
        <c:axPos val="b"/>
        <c:numFmt formatCode="General" sourceLinked="1"/>
        <c:majorTickMark val="none"/>
        <c:minorTickMark val="none"/>
        <c:tickLblPos val="nextTo"/>
        <c:crossAx val="52690697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4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51.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476250</xdr:colOff>
      <xdr:row>6</xdr:row>
      <xdr:rowOff>9525</xdr:rowOff>
    </xdr:from>
    <xdr:to>
      <xdr:col>5</xdr:col>
      <xdr:colOff>400050</xdr:colOff>
      <xdr:row>10</xdr:row>
      <xdr:rowOff>104775</xdr:rowOff>
    </xdr:to>
    <xdr:pic>
      <xdr:nvPicPr>
        <xdr:cNvPr id="8" name="Bildobjekt 7">
          <a:extLst>
            <a:ext uri="{FF2B5EF4-FFF2-40B4-BE49-F238E27FC236}">
              <a16:creationId xmlns:a16="http://schemas.microsoft.com/office/drawing/2014/main" id="{8AEA480C-F794-472A-B2DB-1D661C1039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0" y="1133475"/>
          <a:ext cx="2400300" cy="666750"/>
        </a:xfrm>
        <a:prstGeom prst="rect">
          <a:avLst/>
        </a:prstGeom>
      </xdr:spPr>
    </xdr:pic>
    <xdr:clientData/>
  </xdr:twoCellAnchor>
  <xdr:twoCellAnchor editAs="oneCell">
    <xdr:from>
      <xdr:col>6</xdr:col>
      <xdr:colOff>476250</xdr:colOff>
      <xdr:row>7</xdr:row>
      <xdr:rowOff>47625</xdr:rowOff>
    </xdr:from>
    <xdr:to>
      <xdr:col>13</xdr:col>
      <xdr:colOff>38100</xdr:colOff>
      <xdr:row>11</xdr:row>
      <xdr:rowOff>66833</xdr:rowOff>
    </xdr:to>
    <xdr:pic>
      <xdr:nvPicPr>
        <xdr:cNvPr id="4" name="Bildobjekt 3">
          <a:extLst>
            <a:ext uri="{FF2B5EF4-FFF2-40B4-BE49-F238E27FC236}">
              <a16:creationId xmlns:a16="http://schemas.microsoft.com/office/drawing/2014/main" id="{840EFFBC-9299-478F-BA71-7D5B77552FB3}"/>
            </a:ext>
          </a:extLst>
        </xdr:cNvPr>
        <xdr:cNvPicPr>
          <a:picLocks noChangeAspect="1"/>
        </xdr:cNvPicPr>
      </xdr:nvPicPr>
      <xdr:blipFill>
        <a:blip xmlns:r="http://schemas.openxmlformats.org/officeDocument/2006/relationships" r:embed="rId2"/>
        <a:stretch>
          <a:fillRect/>
        </a:stretch>
      </xdr:blipFill>
      <xdr:spPr>
        <a:xfrm>
          <a:off x="3448050" y="1314450"/>
          <a:ext cx="3028950" cy="5907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38</xdr:row>
      <xdr:rowOff>0</xdr:rowOff>
    </xdr:from>
    <xdr:to>
      <xdr:col>3</xdr:col>
      <xdr:colOff>1703649</xdr:colOff>
      <xdr:row>39</xdr:row>
      <xdr:rowOff>106066</xdr:rowOff>
    </xdr:to>
    <xdr:pic>
      <xdr:nvPicPr>
        <xdr:cNvPr id="8" name="Bildobjekt 7">
          <a:extLst>
            <a:ext uri="{FF2B5EF4-FFF2-40B4-BE49-F238E27FC236}">
              <a16:creationId xmlns:a16="http://schemas.microsoft.com/office/drawing/2014/main" id="{F2BE0814-2831-4DAD-8631-E61A4149781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66675" y="5543550"/>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76200</xdr:colOff>
      <xdr:row>66</xdr:row>
      <xdr:rowOff>76200</xdr:rowOff>
    </xdr:from>
    <xdr:to>
      <xdr:col>3</xdr:col>
      <xdr:colOff>1713174</xdr:colOff>
      <xdr:row>68</xdr:row>
      <xdr:rowOff>1291</xdr:rowOff>
    </xdr:to>
    <xdr:pic>
      <xdr:nvPicPr>
        <xdr:cNvPr id="9" name="Bildobjekt 8">
          <a:extLst>
            <a:ext uri="{FF2B5EF4-FFF2-40B4-BE49-F238E27FC236}">
              <a16:creationId xmlns:a16="http://schemas.microsoft.com/office/drawing/2014/main" id="{5E9B75F9-78EA-4A96-9614-49FB7507F4F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917257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28576</xdr:colOff>
      <xdr:row>39</xdr:row>
      <xdr:rowOff>95250</xdr:rowOff>
    </xdr:from>
    <xdr:to>
      <xdr:col>150</xdr:col>
      <xdr:colOff>532075</xdr:colOff>
      <xdr:row>40</xdr:row>
      <xdr:rowOff>39391</xdr:rowOff>
    </xdr:to>
    <xdr:pic>
      <xdr:nvPicPr>
        <xdr:cNvPr id="3" name="Bildobjekt 2">
          <a:extLst>
            <a:ext uri="{FF2B5EF4-FFF2-40B4-BE49-F238E27FC236}">
              <a16:creationId xmlns:a16="http://schemas.microsoft.com/office/drawing/2014/main" id="{9EC682DC-53C5-4BAD-AF9B-0B1BAE22F28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85726" y="679132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70</xdr:row>
      <xdr:rowOff>76200</xdr:rowOff>
    </xdr:from>
    <xdr:to>
      <xdr:col>3</xdr:col>
      <xdr:colOff>1760799</xdr:colOff>
      <xdr:row>72</xdr:row>
      <xdr:rowOff>1291</xdr:rowOff>
    </xdr:to>
    <xdr:pic>
      <xdr:nvPicPr>
        <xdr:cNvPr id="5" name="Bildobjekt 4">
          <a:extLst>
            <a:ext uri="{FF2B5EF4-FFF2-40B4-BE49-F238E27FC236}">
              <a16:creationId xmlns:a16="http://schemas.microsoft.com/office/drawing/2014/main" id="{BE5A55B2-75FF-4258-9C77-26FE1ADDFB7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7953375"/>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28575</xdr:colOff>
      <xdr:row>82</xdr:row>
      <xdr:rowOff>66675</xdr:rowOff>
    </xdr:from>
    <xdr:to>
      <xdr:col>3</xdr:col>
      <xdr:colOff>1743075</xdr:colOff>
      <xdr:row>84</xdr:row>
      <xdr:rowOff>96541</xdr:rowOff>
    </xdr:to>
    <xdr:pic>
      <xdr:nvPicPr>
        <xdr:cNvPr id="9" name="Bildobjekt 8">
          <a:extLst>
            <a:ext uri="{FF2B5EF4-FFF2-40B4-BE49-F238E27FC236}">
              <a16:creationId xmlns:a16="http://schemas.microsoft.com/office/drawing/2014/main" id="{1F043635-2F07-4AFD-9D4F-EFA9F040E99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66675" y="9601200"/>
          <a:ext cx="1952625"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38100</xdr:colOff>
      <xdr:row>94</xdr:row>
      <xdr:rowOff>66675</xdr:rowOff>
    </xdr:from>
    <xdr:to>
      <xdr:col>3</xdr:col>
      <xdr:colOff>1760799</xdr:colOff>
      <xdr:row>95</xdr:row>
      <xdr:rowOff>172741</xdr:rowOff>
    </xdr:to>
    <xdr:pic>
      <xdr:nvPicPr>
        <xdr:cNvPr id="10" name="Bildobjekt 9">
          <a:extLst>
            <a:ext uri="{FF2B5EF4-FFF2-40B4-BE49-F238E27FC236}">
              <a16:creationId xmlns:a16="http://schemas.microsoft.com/office/drawing/2014/main" id="{3804B408-E461-4C26-9A3D-A871568E199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1115377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63</xdr:row>
      <xdr:rowOff>0</xdr:rowOff>
    </xdr:from>
    <xdr:to>
      <xdr:col>36</xdr:col>
      <xdr:colOff>236799</xdr:colOff>
      <xdr:row>65</xdr:row>
      <xdr:rowOff>10816</xdr:rowOff>
    </xdr:to>
    <xdr:pic>
      <xdr:nvPicPr>
        <xdr:cNvPr id="4" name="Bildobjekt 3">
          <a:extLst>
            <a:ext uri="{FF2B5EF4-FFF2-40B4-BE49-F238E27FC236}">
              <a16:creationId xmlns:a16="http://schemas.microsoft.com/office/drawing/2014/main" id="{5E53DF7E-3E43-404A-A9E8-69A40E83FF6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66675" y="762952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47625</xdr:colOff>
      <xdr:row>43</xdr:row>
      <xdr:rowOff>66675</xdr:rowOff>
    </xdr:from>
    <xdr:to>
      <xdr:col>3</xdr:col>
      <xdr:colOff>1770324</xdr:colOff>
      <xdr:row>44</xdr:row>
      <xdr:rowOff>172741</xdr:rowOff>
    </xdr:to>
    <xdr:pic>
      <xdr:nvPicPr>
        <xdr:cNvPr id="5" name="Bildobjekt 4">
          <a:extLst>
            <a:ext uri="{FF2B5EF4-FFF2-40B4-BE49-F238E27FC236}">
              <a16:creationId xmlns:a16="http://schemas.microsoft.com/office/drawing/2014/main" id="{D0844819-ADE7-4ADB-AC15-B18AB928BD5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85725" y="5181600"/>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38100</xdr:colOff>
      <xdr:row>59</xdr:row>
      <xdr:rowOff>57150</xdr:rowOff>
    </xdr:from>
    <xdr:to>
      <xdr:col>3</xdr:col>
      <xdr:colOff>1760799</xdr:colOff>
      <xdr:row>60</xdr:row>
      <xdr:rowOff>163216</xdr:rowOff>
    </xdr:to>
    <xdr:pic>
      <xdr:nvPicPr>
        <xdr:cNvPr id="9" name="Bildobjekt 8">
          <a:extLst>
            <a:ext uri="{FF2B5EF4-FFF2-40B4-BE49-F238E27FC236}">
              <a16:creationId xmlns:a16="http://schemas.microsoft.com/office/drawing/2014/main" id="{B22C0070-D7AC-489B-AB6D-BC361D37D6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7372350"/>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57150</xdr:colOff>
      <xdr:row>75</xdr:row>
      <xdr:rowOff>66675</xdr:rowOff>
    </xdr:from>
    <xdr:to>
      <xdr:col>3</xdr:col>
      <xdr:colOff>1779849</xdr:colOff>
      <xdr:row>76</xdr:row>
      <xdr:rowOff>172741</xdr:rowOff>
    </xdr:to>
    <xdr:pic>
      <xdr:nvPicPr>
        <xdr:cNvPr id="10" name="Bildobjekt 9">
          <a:extLst>
            <a:ext uri="{FF2B5EF4-FFF2-40B4-BE49-F238E27FC236}">
              <a16:creationId xmlns:a16="http://schemas.microsoft.com/office/drawing/2014/main" id="{423E02F8-1C62-4876-B6DE-351D5F6F2717}"/>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95250" y="9696450"/>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53</xdr:row>
      <xdr:rowOff>76200</xdr:rowOff>
    </xdr:from>
    <xdr:to>
      <xdr:col>3</xdr:col>
      <xdr:colOff>1741749</xdr:colOff>
      <xdr:row>53</xdr:row>
      <xdr:rowOff>363241</xdr:rowOff>
    </xdr:to>
    <xdr:pic>
      <xdr:nvPicPr>
        <xdr:cNvPr id="5" name="Bildobjekt 4">
          <a:extLst>
            <a:ext uri="{FF2B5EF4-FFF2-40B4-BE49-F238E27FC236}">
              <a16:creationId xmlns:a16="http://schemas.microsoft.com/office/drawing/2014/main" id="{2118106B-6155-45B6-9EBD-6A617E0F4A2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6219825"/>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28575</xdr:colOff>
      <xdr:row>67</xdr:row>
      <xdr:rowOff>76200</xdr:rowOff>
    </xdr:from>
    <xdr:to>
      <xdr:col>3</xdr:col>
      <xdr:colOff>1751274</xdr:colOff>
      <xdr:row>69</xdr:row>
      <xdr:rowOff>1291</xdr:rowOff>
    </xdr:to>
    <xdr:pic>
      <xdr:nvPicPr>
        <xdr:cNvPr id="9" name="Bildobjekt 8">
          <a:extLst>
            <a:ext uri="{FF2B5EF4-FFF2-40B4-BE49-F238E27FC236}">
              <a16:creationId xmlns:a16="http://schemas.microsoft.com/office/drawing/2014/main" id="{131A6B80-0DF6-4645-867F-74315F16638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85725" y="8562975"/>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19050</xdr:colOff>
      <xdr:row>84</xdr:row>
      <xdr:rowOff>66675</xdr:rowOff>
    </xdr:from>
    <xdr:to>
      <xdr:col>3</xdr:col>
      <xdr:colOff>1741749</xdr:colOff>
      <xdr:row>85</xdr:row>
      <xdr:rowOff>172741</xdr:rowOff>
    </xdr:to>
    <xdr:pic>
      <xdr:nvPicPr>
        <xdr:cNvPr id="10" name="Bildobjekt 9">
          <a:extLst>
            <a:ext uri="{FF2B5EF4-FFF2-40B4-BE49-F238E27FC236}">
              <a16:creationId xmlns:a16="http://schemas.microsoft.com/office/drawing/2014/main" id="{7BB68589-F152-4639-920F-DC0E95DC7E4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1086802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25</xdr:row>
      <xdr:rowOff>57150</xdr:rowOff>
    </xdr:from>
    <xdr:to>
      <xdr:col>3</xdr:col>
      <xdr:colOff>1694124</xdr:colOff>
      <xdr:row>27</xdr:row>
      <xdr:rowOff>20341</xdr:rowOff>
    </xdr:to>
    <xdr:pic>
      <xdr:nvPicPr>
        <xdr:cNvPr id="8" name="Bildobjekt 7">
          <a:extLst>
            <a:ext uri="{FF2B5EF4-FFF2-40B4-BE49-F238E27FC236}">
              <a16:creationId xmlns:a16="http://schemas.microsoft.com/office/drawing/2014/main" id="{B0A6855B-D65B-44E3-AF5E-74028D54218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47625" y="2962275"/>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47625</xdr:colOff>
      <xdr:row>41</xdr:row>
      <xdr:rowOff>57150</xdr:rowOff>
    </xdr:from>
    <xdr:to>
      <xdr:col>3</xdr:col>
      <xdr:colOff>1694124</xdr:colOff>
      <xdr:row>43</xdr:row>
      <xdr:rowOff>20341</xdr:rowOff>
    </xdr:to>
    <xdr:pic>
      <xdr:nvPicPr>
        <xdr:cNvPr id="9" name="Bildobjekt 8">
          <a:extLst>
            <a:ext uri="{FF2B5EF4-FFF2-40B4-BE49-F238E27FC236}">
              <a16:creationId xmlns:a16="http://schemas.microsoft.com/office/drawing/2014/main" id="{C590CC6F-637E-4DBF-BEC4-85BAE5F78C8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47625" y="5257800"/>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47625</xdr:colOff>
      <xdr:row>57</xdr:row>
      <xdr:rowOff>66675</xdr:rowOff>
    </xdr:from>
    <xdr:to>
      <xdr:col>3</xdr:col>
      <xdr:colOff>1694124</xdr:colOff>
      <xdr:row>59</xdr:row>
      <xdr:rowOff>96541</xdr:rowOff>
    </xdr:to>
    <xdr:pic>
      <xdr:nvPicPr>
        <xdr:cNvPr id="10" name="Bildobjekt 9">
          <a:extLst>
            <a:ext uri="{FF2B5EF4-FFF2-40B4-BE49-F238E27FC236}">
              <a16:creationId xmlns:a16="http://schemas.microsoft.com/office/drawing/2014/main" id="{C486AA5E-A48B-492F-BBB9-C75531C09CA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47625" y="7543800"/>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68</xdr:row>
      <xdr:rowOff>47625</xdr:rowOff>
    </xdr:from>
    <xdr:to>
      <xdr:col>3</xdr:col>
      <xdr:colOff>1713174</xdr:colOff>
      <xdr:row>69</xdr:row>
      <xdr:rowOff>153691</xdr:rowOff>
    </xdr:to>
    <xdr:pic>
      <xdr:nvPicPr>
        <xdr:cNvPr id="4" name="Bildobjekt 3">
          <a:extLst>
            <a:ext uri="{FF2B5EF4-FFF2-40B4-BE49-F238E27FC236}">
              <a16:creationId xmlns:a16="http://schemas.microsoft.com/office/drawing/2014/main" id="{03C30BBB-2724-46A6-9DD2-367DE836A65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9544050"/>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51</xdr:row>
      <xdr:rowOff>771525</xdr:rowOff>
    </xdr:from>
    <xdr:to>
      <xdr:col>3</xdr:col>
      <xdr:colOff>1598874</xdr:colOff>
      <xdr:row>53</xdr:row>
      <xdr:rowOff>67966</xdr:rowOff>
    </xdr:to>
    <xdr:pic>
      <xdr:nvPicPr>
        <xdr:cNvPr id="5" name="Bildobjekt 4">
          <a:extLst>
            <a:ext uri="{FF2B5EF4-FFF2-40B4-BE49-F238E27FC236}">
              <a16:creationId xmlns:a16="http://schemas.microsoft.com/office/drawing/2014/main" id="{E60B2220-46B5-47A0-891B-1BFBD21C5FD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66675" y="7581900"/>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76200</xdr:colOff>
      <xdr:row>51</xdr:row>
      <xdr:rowOff>762000</xdr:rowOff>
    </xdr:from>
    <xdr:to>
      <xdr:col>3</xdr:col>
      <xdr:colOff>1608399</xdr:colOff>
      <xdr:row>53</xdr:row>
      <xdr:rowOff>134641</xdr:rowOff>
    </xdr:to>
    <xdr:pic>
      <xdr:nvPicPr>
        <xdr:cNvPr id="4" name="Bildobjekt 3">
          <a:extLst>
            <a:ext uri="{FF2B5EF4-FFF2-40B4-BE49-F238E27FC236}">
              <a16:creationId xmlns:a16="http://schemas.microsoft.com/office/drawing/2014/main" id="{A2F800FC-D654-44D5-9769-0F785051C49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753427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9</xdr:col>
      <xdr:colOff>485775</xdr:colOff>
      <xdr:row>17</xdr:row>
      <xdr:rowOff>2638425</xdr:rowOff>
    </xdr:to>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0" y="428625"/>
          <a:ext cx="5286375" cy="71151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sv-SE" sz="1100" b="1">
              <a:solidFill>
                <a:schemeClr val="dk1"/>
              </a:solidFill>
              <a:effectLst/>
              <a:latin typeface="Arial" panose="020B0604020202020204" pitchFamily="34" charset="0"/>
              <a:ea typeface="+mn-ea"/>
              <a:cs typeface="Arial" panose="020B0604020202020204" pitchFamily="34" charset="0"/>
            </a:rPr>
            <a:t>Statistikens ändamål och innehåll</a:t>
          </a:r>
          <a:endParaRPr lang="sv-SE" sz="11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Ändamålet med statistiken är att beskriva verksamheten vid järnväg, spårväg respektive tunnelbana i Sverige och dess utveckling över tid. Verksamheten beskrivs utifrån fyra huvudområden: trafik, transporter, fordon och infrastruktur. Statistiken redovisas årligen och kompletterar den kvartalsvisa järnvägs­statistiken som ingår i Trafikanalys publikation </a:t>
          </a:r>
          <a:r>
            <a:rPr lang="sv-SE" sz="1000" i="1">
              <a:solidFill>
                <a:schemeClr val="dk1"/>
              </a:solidFill>
              <a:effectLst/>
              <a:latin typeface="Arial" panose="020B0604020202020204" pitchFamily="34" charset="0"/>
              <a:ea typeface="+mn-ea"/>
              <a:cs typeface="Arial" panose="020B0604020202020204" pitchFamily="34" charset="0"/>
            </a:rPr>
            <a:t>Järnvägstransporter</a:t>
          </a:r>
          <a:r>
            <a:rPr lang="sv-SE" sz="1000">
              <a:solidFill>
                <a:schemeClr val="dk1"/>
              </a:solidFill>
              <a:effectLst/>
              <a:latin typeface="Arial" panose="020B0604020202020204" pitchFamily="34" charset="0"/>
              <a:ea typeface="+mn-ea"/>
              <a:cs typeface="Arial" panose="020B0604020202020204" pitchFamily="34" charset="0"/>
            </a:rPr>
            <a:t>.</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Person- och godstrafiken beskrivs främst genom trafik- och transportarbete (person- och tonkilometer), antal resor och godsmängd. Vidare finns statistik om infrastrukturens omfattning, till exempel sammanlagd banlängd och antal korsningar. Företagen som trafikerar infrastrukturen förtecknas och deras insatser i form av fordon och personal summeras.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Årsstatistiken följer kalenderår. De uppgifter som avser tillståndet ett visst datum, t.ex. bestånd av fordon, redovisas per den 31 december varje år.</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100" b="1">
              <a:solidFill>
                <a:schemeClr val="dk1"/>
              </a:solidFill>
              <a:effectLst/>
              <a:latin typeface="Arial" panose="020B0604020202020204" pitchFamily="34" charset="0"/>
              <a:ea typeface="+mn-ea"/>
              <a:cs typeface="Arial" panose="020B0604020202020204" pitchFamily="34" charset="0"/>
            </a:rPr>
            <a:t>Statistikens framställning</a:t>
          </a:r>
          <a:endParaRPr lang="sv-SE" sz="11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Statistiken bygger på en totalundersökning av all kommersiell trafik på järnväg, spårväg respektive tunnelbana i Sverige. Undantagen är museitrafik, trafik inne på rangerbangårdar, industriområden, hamnar och liknande anläggningar samt tjänstetransporter. Transporterna som trafiken utför undersöks, så även den infrastrukturen som trafikeras och de fordon som står till förfogande.</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Underlaget till statistiken samlas in via elektroniska frågeformulär som skickas till svenska och utländska tågoperatörer, regionala kollektivtrafikmyndigheter, infrastruktur­förvaltare och vissa andra företag verksamma inom järnväg, spårväg eller tunnelbana i Sverige. Uppgiftslämnarna identifieras främst genom de underlag som finns i Trafikverkets uppföljningssystem för järnvägstransporter.</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100" b="1">
              <a:solidFill>
                <a:schemeClr val="dk1"/>
              </a:solidFill>
              <a:effectLst/>
              <a:latin typeface="Arial" panose="020B0604020202020204" pitchFamily="34" charset="0"/>
              <a:ea typeface="+mn-ea"/>
              <a:cs typeface="Arial" panose="020B0604020202020204" pitchFamily="34" charset="0"/>
            </a:rPr>
            <a:t>Statistikens kvalitet</a:t>
          </a:r>
          <a:endParaRPr lang="sv-SE" sz="11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Uppgiftslämnare har i regel skyldighet att lämna uppgifter till undersökningen och svar kommer in från samtliga. Statistikens tillförlitlighet påverkas i hög grad av uppgiftslämnarnas förmåga och metoder att mäta undersökningsvariablerna. Detta kan skilja sig åt mellan uppgiftslämnarna, särskilt om resande och personkilometer. Exempelvis kan antal resenärer i vissa fall baseras på biljett­försäljning medan i andra fall på resvaneundersökningar som genomförs med olika frekvenser.</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Det förekommer även osäkerhet kring hur många resenärer som under en resa byter mellan flera tåg. En resenär kan därför i vissa fall räknas flera gånger under samma resa. Detta gäller i första hand kortväga resor där periodkort ofta används.</a:t>
          </a:r>
        </a:p>
        <a:p>
          <a:r>
            <a:rPr lang="sv-SE" sz="1000">
              <a:solidFill>
                <a:schemeClr val="dk1"/>
              </a:solidFill>
              <a:effectLst/>
              <a:latin typeface="Arial" panose="020B0604020202020204" pitchFamily="34" charset="0"/>
              <a:ea typeface="+mn-ea"/>
              <a:cs typeface="Arial" panose="020B0604020202020204" pitchFamily="34" charset="0"/>
            </a:rPr>
            <a:t>Dubbelräkningar av godsmängden kan också förekomma om det exempelvis sker en förflyttning av godset mellan två tåg tillhörande olika operatörer. När det har varit möjligt har dessa dubbelräkningar avräknats.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När väsentliga brott har uppstått i tidsserierna markeras det med horisontella eller vertikala streck i tabellerna och en fotnot som ger en närmare förklaring.</a:t>
          </a:r>
        </a:p>
        <a:p>
          <a:endParaRPr lang="sv-SE" sz="1100" b="0"/>
        </a:p>
        <a:p>
          <a:endParaRPr lang="sv-SE" sz="1100" b="0"/>
        </a:p>
        <a:p>
          <a:endParaRPr lang="sv-SE" sz="1100" b="0"/>
        </a:p>
      </xdr:txBody>
    </xdr:sp>
    <xdr:clientData/>
  </xdr:twoCellAnchor>
  <xdr:twoCellAnchor editAs="oneCell">
    <xdr:from>
      <xdr:col>0</xdr:col>
      <xdr:colOff>123825</xdr:colOff>
      <xdr:row>19</xdr:row>
      <xdr:rowOff>38100</xdr:rowOff>
    </xdr:from>
    <xdr:to>
      <xdr:col>2</xdr:col>
      <xdr:colOff>371475</xdr:colOff>
      <xdr:row>22</xdr:row>
      <xdr:rowOff>1211</xdr:rowOff>
    </xdr:to>
    <xdr:pic>
      <xdr:nvPicPr>
        <xdr:cNvPr id="3" name="Bildobjekt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3825" y="5219700"/>
          <a:ext cx="1409700" cy="391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523875</xdr:colOff>
      <xdr:row>1</xdr:row>
      <xdr:rowOff>28576</xdr:rowOff>
    </xdr:from>
    <xdr:to>
      <xdr:col>18</xdr:col>
      <xdr:colOff>561975</xdr:colOff>
      <xdr:row>17</xdr:row>
      <xdr:rowOff>2676526</xdr:rowOff>
    </xdr:to>
    <xdr:sp macro="" textlink="">
      <xdr:nvSpPr>
        <xdr:cNvPr id="4" name="textruta 3">
          <a:extLst>
            <a:ext uri="{FF2B5EF4-FFF2-40B4-BE49-F238E27FC236}">
              <a16:creationId xmlns:a16="http://schemas.microsoft.com/office/drawing/2014/main" id="{2D0CB0D8-D116-4781-95D8-560D29053105}"/>
            </a:ext>
          </a:extLst>
        </xdr:cNvPr>
        <xdr:cNvSpPr txBox="1"/>
      </xdr:nvSpPr>
      <xdr:spPr>
        <a:xfrm>
          <a:off x="5753100" y="438151"/>
          <a:ext cx="5267325" cy="71437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rtlCol="0" anchor="t"/>
        <a:lstStyle/>
        <a:p>
          <a:r>
            <a:rPr lang="sv-SE" sz="1100" b="1">
              <a:solidFill>
                <a:schemeClr val="dk1"/>
              </a:solidFill>
              <a:effectLst/>
              <a:latin typeface="Arial" panose="020B0604020202020204" pitchFamily="34" charset="0"/>
              <a:ea typeface="+mn-ea"/>
              <a:cs typeface="Arial" panose="020B0604020202020204" pitchFamily="34" charset="0"/>
            </a:rPr>
            <a:t>Purpose and content of the statistics</a:t>
          </a:r>
        </a:p>
        <a:p>
          <a:r>
            <a:rPr lang="sv-SE" sz="1000">
              <a:solidFill>
                <a:schemeClr val="dk1"/>
              </a:solidFill>
              <a:effectLst/>
              <a:latin typeface="Arial" panose="020B0604020202020204" pitchFamily="34" charset="0"/>
              <a:ea typeface="+mn-ea"/>
              <a:cs typeface="Arial" panose="020B0604020202020204" pitchFamily="34" charset="0"/>
            </a:rPr>
            <a:t>The purpose of the statistics is to describe the operations of railways, tramways, and subways in Sweden, and their evolution over time. These operations are described based on four main aspects, i.e., traffic, transport, vehicles, and infrastructure. The statistics are reported annually, supplementing the quarterly railway statistics included in the Transport Analysis publication </a:t>
          </a:r>
          <a:r>
            <a:rPr lang="sv-SE" sz="1000" i="1">
              <a:solidFill>
                <a:schemeClr val="dk1"/>
              </a:solidFill>
              <a:effectLst/>
              <a:latin typeface="Arial" panose="020B0604020202020204" pitchFamily="34" charset="0"/>
              <a:ea typeface="+mn-ea"/>
              <a:cs typeface="Arial" panose="020B0604020202020204" pitchFamily="34" charset="0"/>
            </a:rPr>
            <a:t>Järnvägstransporter</a:t>
          </a:r>
          <a:r>
            <a:rPr lang="sv-SE" sz="1000">
              <a:solidFill>
                <a:schemeClr val="dk1"/>
              </a:solidFill>
              <a:effectLst/>
              <a:latin typeface="Arial" panose="020B0604020202020204" pitchFamily="34" charset="0"/>
              <a:ea typeface="+mn-ea"/>
              <a:cs typeface="Arial" panose="020B0604020202020204" pitchFamily="34" charset="0"/>
            </a:rPr>
            <a:t> [Railway Transport].</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Passenger and goods traffic is described mainly in terms of vehicle and transport mileage (i.e., passenger- and tonne-kilometres), numbers of trips, and volumes of goods. There are also statistics concerning the scope of the infrastructure, for example, total track length and number of crossings. The companies that operate the infrastructure are listed, and their operations are summarised in terms of vehicles and personnel. </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 annual statistics follow the calendar year. The data pertaining to the status as of a given date, such as vehicle stock, are reported as of 31 December each year.</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100" b="1">
              <a:solidFill>
                <a:schemeClr val="dk1"/>
              </a:solidFill>
              <a:effectLst/>
              <a:latin typeface="Arial" panose="020B0604020202020204" pitchFamily="34" charset="0"/>
              <a:ea typeface="+mn-ea"/>
              <a:cs typeface="Arial" panose="020B0604020202020204" pitchFamily="34" charset="0"/>
            </a:rPr>
            <a:t>Generating the statistics</a:t>
          </a:r>
        </a:p>
        <a:p>
          <a:r>
            <a:rPr lang="sv-SE" sz="1000">
              <a:solidFill>
                <a:schemeClr val="dk1"/>
              </a:solidFill>
              <a:effectLst/>
              <a:latin typeface="Arial" panose="020B0604020202020204" pitchFamily="34" charset="0"/>
              <a:ea typeface="+mn-ea"/>
              <a:cs typeface="Arial" panose="020B0604020202020204" pitchFamily="34" charset="0"/>
            </a:rPr>
            <a:t>The statistics are based on a total survey of all commercial railway, tramway, and subway traffic in Sweden (railway museum traffic, traffic inside marshalling yards, industrial areas, ports, and similar facilities, as well as service transports are excepted). The transport that this traffic carries out is surveyed, along with the infrastructure used and vehicles available.</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 documentary data the statistics is gathered via electronic questionnaires sent to Swedish and foreign train operators, RPTAs, infrastructure managers, and certain other companies active in railways, tramways, and subways in Sweden. The respondents are identified based mainly on the documentation found in the Swedish Transport Administration’s follow-up system for railway transport.</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100" b="1">
              <a:solidFill>
                <a:schemeClr val="dk1"/>
              </a:solidFill>
              <a:effectLst/>
              <a:latin typeface="Arial" panose="020B0604020202020204" pitchFamily="34" charset="0"/>
              <a:ea typeface="+mn-ea"/>
              <a:cs typeface="Arial" panose="020B0604020202020204" pitchFamily="34" charset="0"/>
            </a:rPr>
            <a:t>Statistical quality</a:t>
          </a:r>
        </a:p>
        <a:p>
          <a:r>
            <a:rPr lang="sv-SE" sz="1000">
              <a:solidFill>
                <a:schemeClr val="dk1"/>
              </a:solidFill>
              <a:effectLst/>
              <a:latin typeface="Arial" panose="020B0604020202020204" pitchFamily="34" charset="0"/>
              <a:ea typeface="+mn-ea"/>
              <a:cs typeface="Arial" panose="020B0604020202020204" pitchFamily="34" charset="0"/>
            </a:rPr>
            <a:t>As a rule, the respondents are obliged to provide information for the survey, and responses are received from all of them. The reliability of the statistics is greatly affected by the respondents' ability and the methods to measure the survey variables. This may differ between respondents, particularly regarding trips and passenger-kilometres. For example, the number of passengers may in some cases be based on ticket sales, while in other cases it may be based on travel habit surveys conducted with varying frequencies.</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There is also uncertainty as to how many passengers switch trains during a trip. A passenger may thus, in certain cases, be counted more than once during the same trip. This applies mainly to short trips during which travel passes are often used. Goods volumes may also be counted twice if, for example, the goods are transferred between two trains belonging to</a:t>
          </a:r>
        </a:p>
        <a:p>
          <a:r>
            <a:rPr lang="sv-SE" sz="1000">
              <a:solidFill>
                <a:schemeClr val="dk1"/>
              </a:solidFill>
              <a:effectLst/>
              <a:latin typeface="Arial" panose="020B0604020202020204" pitchFamily="34" charset="0"/>
              <a:ea typeface="+mn-ea"/>
              <a:cs typeface="Arial" panose="020B0604020202020204" pitchFamily="34" charset="0"/>
            </a:rPr>
            <a:t>different operators. Such double counting is eliminated wherever possible. </a:t>
          </a:r>
        </a:p>
        <a:p>
          <a:endParaRPr lang="sv-SE" sz="1000">
            <a:solidFill>
              <a:schemeClr val="dk1"/>
            </a:solidFill>
            <a:effectLst/>
            <a:latin typeface="Arial" panose="020B0604020202020204" pitchFamily="34" charset="0"/>
            <a:ea typeface="+mn-ea"/>
            <a:cs typeface="Arial" panose="020B0604020202020204" pitchFamily="34" charset="0"/>
          </a:endParaRPr>
        </a:p>
        <a:p>
          <a:r>
            <a:rPr lang="sv-SE" sz="1000">
              <a:solidFill>
                <a:schemeClr val="dk1"/>
              </a:solidFill>
              <a:effectLst/>
              <a:latin typeface="Arial" panose="020B0604020202020204" pitchFamily="34" charset="0"/>
              <a:ea typeface="+mn-ea"/>
              <a:cs typeface="Arial" panose="020B0604020202020204" pitchFamily="34" charset="0"/>
            </a:rPr>
            <a:t>Whenever significant gaps have occurred in the time series, they are identified by horizontal or vertical lines in the tables, and a footnote is included to provide a detailed explanation.</a:t>
          </a:r>
          <a:endParaRPr lang="sv-SE" sz="1000" b="0">
            <a:latin typeface="Arial" panose="020B0604020202020204" pitchFamily="34" charset="0"/>
            <a:cs typeface="Arial" panose="020B0604020202020204" pitchFamily="34" charset="0"/>
          </a:endParaRPr>
        </a:p>
        <a:p>
          <a:endParaRPr lang="sv-SE" sz="1000" b="0">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68580</xdr:colOff>
      <xdr:row>31</xdr:row>
      <xdr:rowOff>66675</xdr:rowOff>
    </xdr:from>
    <xdr:to>
      <xdr:col>3</xdr:col>
      <xdr:colOff>1705554</xdr:colOff>
      <xdr:row>32</xdr:row>
      <xdr:rowOff>172741</xdr:rowOff>
    </xdr:to>
    <xdr:pic>
      <xdr:nvPicPr>
        <xdr:cNvPr id="3" name="Bildobjekt 2">
          <a:extLst>
            <a:ext uri="{FF2B5EF4-FFF2-40B4-BE49-F238E27FC236}">
              <a16:creationId xmlns:a16="http://schemas.microsoft.com/office/drawing/2014/main" id="{74F485D0-DCBD-4899-9B54-A594E1A6F24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68580" y="4705350"/>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69</xdr:row>
      <xdr:rowOff>76200</xdr:rowOff>
    </xdr:from>
    <xdr:to>
      <xdr:col>3</xdr:col>
      <xdr:colOff>1598874</xdr:colOff>
      <xdr:row>71</xdr:row>
      <xdr:rowOff>1291</xdr:rowOff>
    </xdr:to>
    <xdr:pic>
      <xdr:nvPicPr>
        <xdr:cNvPr id="5" name="Bildobjekt 4">
          <a:extLst>
            <a:ext uri="{FF2B5EF4-FFF2-40B4-BE49-F238E27FC236}">
              <a16:creationId xmlns:a16="http://schemas.microsoft.com/office/drawing/2014/main" id="{8DAB7D4A-264B-44B7-B60D-E9535F18B0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66675" y="9163050"/>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45</xdr:row>
      <xdr:rowOff>9525</xdr:rowOff>
    </xdr:from>
    <xdr:to>
      <xdr:col>3</xdr:col>
      <xdr:colOff>1694124</xdr:colOff>
      <xdr:row>46</xdr:row>
      <xdr:rowOff>115591</xdr:rowOff>
    </xdr:to>
    <xdr:pic>
      <xdr:nvPicPr>
        <xdr:cNvPr id="8" name="Bildobjekt 7">
          <a:extLst>
            <a:ext uri="{FF2B5EF4-FFF2-40B4-BE49-F238E27FC236}">
              <a16:creationId xmlns:a16="http://schemas.microsoft.com/office/drawing/2014/main" id="{47C0D3E9-AB75-4EA1-AB13-497A6100023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57150" y="6019800"/>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28575</xdr:colOff>
      <xdr:row>66</xdr:row>
      <xdr:rowOff>0</xdr:rowOff>
    </xdr:from>
    <xdr:to>
      <xdr:col>3</xdr:col>
      <xdr:colOff>1703649</xdr:colOff>
      <xdr:row>67</xdr:row>
      <xdr:rowOff>106066</xdr:rowOff>
    </xdr:to>
    <xdr:pic>
      <xdr:nvPicPr>
        <xdr:cNvPr id="9" name="Bildobjekt 8">
          <a:extLst>
            <a:ext uri="{FF2B5EF4-FFF2-40B4-BE49-F238E27FC236}">
              <a16:creationId xmlns:a16="http://schemas.microsoft.com/office/drawing/2014/main" id="{BCC1F698-9A77-4503-AF30-E06FE896444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66675" y="8572500"/>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47625</xdr:colOff>
      <xdr:row>86</xdr:row>
      <xdr:rowOff>57150</xdr:rowOff>
    </xdr:from>
    <xdr:to>
      <xdr:col>3</xdr:col>
      <xdr:colOff>1722699</xdr:colOff>
      <xdr:row>87</xdr:row>
      <xdr:rowOff>163216</xdr:rowOff>
    </xdr:to>
    <xdr:pic>
      <xdr:nvPicPr>
        <xdr:cNvPr id="10" name="Bildobjekt 9">
          <a:extLst>
            <a:ext uri="{FF2B5EF4-FFF2-40B4-BE49-F238E27FC236}">
              <a16:creationId xmlns:a16="http://schemas.microsoft.com/office/drawing/2014/main" id="{0F5935CD-F7B7-479C-ABEA-2BF50C1563D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85725" y="11201400"/>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123824</xdr:colOff>
      <xdr:row>1</xdr:row>
      <xdr:rowOff>23812</xdr:rowOff>
    </xdr:from>
    <xdr:to>
      <xdr:col>16</xdr:col>
      <xdr:colOff>409575</xdr:colOff>
      <xdr:row>40</xdr:row>
      <xdr:rowOff>38101</xdr:rowOff>
    </xdr:to>
    <xdr:graphicFrame macro="">
      <xdr:nvGraphicFramePr>
        <xdr:cNvPr id="3" name="Diagram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523875</xdr:colOff>
      <xdr:row>6</xdr:row>
      <xdr:rowOff>38100</xdr:rowOff>
    </xdr:from>
    <xdr:to>
      <xdr:col>16</xdr:col>
      <xdr:colOff>190500</xdr:colOff>
      <xdr:row>10</xdr:row>
      <xdr:rowOff>57150</xdr:rowOff>
    </xdr:to>
    <xdr:sp macro="" textlink="">
      <xdr:nvSpPr>
        <xdr:cNvPr id="4" name="textruta 1">
          <a:extLst>
            <a:ext uri="{FF2B5EF4-FFF2-40B4-BE49-F238E27FC236}">
              <a16:creationId xmlns:a16="http://schemas.microsoft.com/office/drawing/2014/main" id="{00000000-0008-0000-1D00-000004000000}"/>
            </a:ext>
          </a:extLst>
        </xdr:cNvPr>
        <xdr:cNvSpPr txBox="1"/>
      </xdr:nvSpPr>
      <xdr:spPr>
        <a:xfrm>
          <a:off x="9058275" y="895350"/>
          <a:ext cx="88582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Totalt</a:t>
          </a:r>
        </a:p>
      </xdr:txBody>
    </xdr:sp>
    <xdr:clientData/>
  </xdr:twoCellAnchor>
  <xdr:twoCellAnchor>
    <xdr:from>
      <xdr:col>12</xdr:col>
      <xdr:colOff>161925</xdr:colOff>
      <xdr:row>13</xdr:row>
      <xdr:rowOff>57150</xdr:rowOff>
    </xdr:from>
    <xdr:to>
      <xdr:col>14</xdr:col>
      <xdr:colOff>342900</xdr:colOff>
      <xdr:row>17</xdr:row>
      <xdr:rowOff>76200</xdr:rowOff>
    </xdr:to>
    <xdr:sp macro="" textlink="">
      <xdr:nvSpPr>
        <xdr:cNvPr id="5" name="textruta 1">
          <a:extLst>
            <a:ext uri="{FF2B5EF4-FFF2-40B4-BE49-F238E27FC236}">
              <a16:creationId xmlns:a16="http://schemas.microsoft.com/office/drawing/2014/main" id="{00000000-0008-0000-1D00-000005000000}"/>
            </a:ext>
          </a:extLst>
        </xdr:cNvPr>
        <xdr:cNvSpPr txBox="1"/>
      </xdr:nvSpPr>
      <xdr:spPr>
        <a:xfrm>
          <a:off x="7477125" y="1914525"/>
          <a:ext cx="14001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Enkelspår</a:t>
          </a:r>
        </a:p>
      </xdr:txBody>
    </xdr:sp>
    <xdr:clientData/>
  </xdr:twoCellAnchor>
  <xdr:twoCellAnchor>
    <xdr:from>
      <xdr:col>11</xdr:col>
      <xdr:colOff>419100</xdr:colOff>
      <xdr:row>26</xdr:row>
      <xdr:rowOff>19050</xdr:rowOff>
    </xdr:from>
    <xdr:to>
      <xdr:col>15</xdr:col>
      <xdr:colOff>485775</xdr:colOff>
      <xdr:row>30</xdr:row>
      <xdr:rowOff>38100</xdr:rowOff>
    </xdr:to>
    <xdr:sp macro="" textlink="">
      <xdr:nvSpPr>
        <xdr:cNvPr id="6" name="textruta 1">
          <a:extLst>
            <a:ext uri="{FF2B5EF4-FFF2-40B4-BE49-F238E27FC236}">
              <a16:creationId xmlns:a16="http://schemas.microsoft.com/office/drawing/2014/main" id="{00000000-0008-0000-1D00-000006000000}"/>
            </a:ext>
          </a:extLst>
        </xdr:cNvPr>
        <xdr:cNvSpPr txBox="1"/>
      </xdr:nvSpPr>
      <xdr:spPr>
        <a:xfrm>
          <a:off x="7124700" y="3733800"/>
          <a:ext cx="25050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Dubbel- och flerspår</a:t>
          </a:r>
        </a:p>
      </xdr:txBody>
    </xdr:sp>
    <xdr:clientData/>
  </xdr:twoCellAnchor>
</xdr:wsDr>
</file>

<file path=xl/drawings/drawing24.xml><?xml version="1.0" encoding="utf-8"?>
<c:userShapes xmlns:c="http://schemas.openxmlformats.org/drawingml/2006/chart">
  <cdr:relSizeAnchor xmlns:cdr="http://schemas.openxmlformats.org/drawingml/2006/chartDrawing">
    <cdr:from>
      <cdr:x>0</cdr:x>
      <cdr:y>0.22251</cdr:y>
    </cdr:from>
    <cdr:to>
      <cdr:x>0.03245</cdr:x>
      <cdr:y>0.54987</cdr:y>
    </cdr:to>
    <cdr:sp macro="" textlink="">
      <cdr:nvSpPr>
        <cdr:cNvPr id="2" name="textruta 1"/>
        <cdr:cNvSpPr txBox="1"/>
      </cdr:nvSpPr>
      <cdr:spPr>
        <a:xfrm xmlns:a="http://schemas.openxmlformats.org/drawingml/2006/main" rot="16200000">
          <a:off x="-751505" y="1994518"/>
          <a:ext cx="1828788" cy="3257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Kilometer</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0.63093</cdr:x>
      <cdr:y>0.50725</cdr:y>
    </cdr:from>
    <cdr:to>
      <cdr:x>0.94782</cdr:x>
      <cdr:y>0.61296</cdr:y>
    </cdr:to>
    <cdr:sp macro="" textlink="">
      <cdr:nvSpPr>
        <cdr:cNvPr id="4" name="textruta 3"/>
        <cdr:cNvSpPr txBox="1"/>
      </cdr:nvSpPr>
      <cdr:spPr>
        <a:xfrm xmlns:a="http://schemas.openxmlformats.org/drawingml/2006/main">
          <a:off x="6334099" y="2833686"/>
          <a:ext cx="3181370" cy="5905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latin typeface="Arial" panose="020B0604020202020204" pitchFamily="34" charset="0"/>
              <a:cs typeface="Arial" panose="020B0604020202020204" pitchFamily="34" charset="0"/>
            </a:rPr>
            <a:t>Dragfordon persontrafik</a:t>
          </a:r>
        </a:p>
      </cdr:txBody>
    </cdr:sp>
  </cdr:relSizeAnchor>
  <cdr:relSizeAnchor xmlns:cdr="http://schemas.openxmlformats.org/drawingml/2006/chartDrawing">
    <cdr:from>
      <cdr:x>0.40639</cdr:x>
      <cdr:y>0.73373</cdr:y>
    </cdr:from>
    <cdr:to>
      <cdr:x>0.72328</cdr:x>
      <cdr:y>0.83944</cdr:y>
    </cdr:to>
    <cdr:sp macro="" textlink="">
      <cdr:nvSpPr>
        <cdr:cNvPr id="5" name="textruta 1"/>
        <cdr:cNvSpPr txBox="1"/>
      </cdr:nvSpPr>
      <cdr:spPr>
        <a:xfrm xmlns:a="http://schemas.openxmlformats.org/drawingml/2006/main">
          <a:off x="4079879" y="4098921"/>
          <a:ext cx="3181370" cy="590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800" b="1">
              <a:latin typeface="Arial" panose="020B0604020202020204" pitchFamily="34" charset="0"/>
              <a:cs typeface="Arial" panose="020B0604020202020204" pitchFamily="34" charset="0"/>
            </a:rPr>
            <a:t>Dragfordon godstrafik</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20</xdr:row>
      <xdr:rowOff>123825</xdr:rowOff>
    </xdr:from>
    <xdr:to>
      <xdr:col>8</xdr:col>
      <xdr:colOff>161925</xdr:colOff>
      <xdr:row>25</xdr:row>
      <xdr:rowOff>0</xdr:rowOff>
    </xdr:to>
    <xdr:sp macro="" textlink="">
      <xdr:nvSpPr>
        <xdr:cNvPr id="3" name="textruta 1">
          <a:extLst>
            <a:ext uri="{FF2B5EF4-FFF2-40B4-BE49-F238E27FC236}">
              <a16:creationId xmlns:a16="http://schemas.microsoft.com/office/drawing/2014/main" id="{00000000-0008-0000-2100-000003000000}"/>
            </a:ext>
          </a:extLst>
        </xdr:cNvPr>
        <xdr:cNvSpPr txBox="1"/>
      </xdr:nvSpPr>
      <xdr:spPr>
        <a:xfrm>
          <a:off x="1857375" y="2981325"/>
          <a:ext cx="318135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Lokdragna personvagnar</a:t>
          </a:r>
        </a:p>
      </xdr:txBody>
    </xdr:sp>
    <xdr:clientData/>
  </xdr:twoCellAnchor>
</xdr:wsDr>
</file>

<file path=xl/drawings/drawing28.xml><?xml version="1.0" encoding="utf-8"?>
<c:userShapes xmlns:c="http://schemas.openxmlformats.org/drawingml/2006/chart">
  <cdr:relSizeAnchor xmlns:cdr="http://schemas.openxmlformats.org/drawingml/2006/chartDrawing">
    <cdr:from>
      <cdr:x>0.59519</cdr:x>
      <cdr:y>0.63143</cdr:y>
    </cdr:from>
    <cdr:to>
      <cdr:x>0.93454</cdr:x>
      <cdr:y>0.73714</cdr:y>
    </cdr:to>
    <cdr:sp macro="" textlink="">
      <cdr:nvSpPr>
        <cdr:cNvPr id="4" name="textruta 1"/>
        <cdr:cNvSpPr txBox="1"/>
      </cdr:nvSpPr>
      <cdr:spPr>
        <a:xfrm xmlns:a="http://schemas.openxmlformats.org/drawingml/2006/main">
          <a:off x="5975350" y="3527425"/>
          <a:ext cx="3406776" cy="590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800" b="1">
              <a:latin typeface="Arial" panose="020B0604020202020204" pitchFamily="34" charset="0"/>
              <a:cs typeface="Arial" panose="020B0604020202020204" pitchFamily="34" charset="0"/>
            </a:rPr>
            <a:t>Personvagnar i motorvagnar</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76199</xdr:colOff>
      <xdr:row>0</xdr:row>
      <xdr:rowOff>109537</xdr:rowOff>
    </xdr:from>
    <xdr:to>
      <xdr:col>16</xdr:col>
      <xdr:colOff>361950</xdr:colOff>
      <xdr:row>39</xdr:row>
      <xdr:rowOff>123826</xdr:rowOff>
    </xdr:to>
    <xdr:graphicFrame macro="">
      <xdr:nvGraphicFramePr>
        <xdr:cNvPr id="2" name="Diagram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561975</xdr:colOff>
      <xdr:row>27</xdr:row>
      <xdr:rowOff>0</xdr:rowOff>
    </xdr:from>
    <xdr:to>
      <xdr:col>10</xdr:col>
      <xdr:colOff>381000</xdr:colOff>
      <xdr:row>31</xdr:row>
      <xdr:rowOff>19050</xdr:rowOff>
    </xdr:to>
    <xdr:sp macro="" textlink="">
      <xdr:nvSpPr>
        <xdr:cNvPr id="3" name="textruta 1">
          <a:extLst>
            <a:ext uri="{FF2B5EF4-FFF2-40B4-BE49-F238E27FC236}">
              <a16:creationId xmlns:a16="http://schemas.microsoft.com/office/drawing/2014/main" id="{00000000-0008-0000-2300-000003000000}"/>
            </a:ext>
          </a:extLst>
        </xdr:cNvPr>
        <xdr:cNvSpPr txBox="1"/>
      </xdr:nvSpPr>
      <xdr:spPr>
        <a:xfrm>
          <a:off x="4829175" y="3857625"/>
          <a:ext cx="164782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Persontrafik</a:t>
          </a:r>
        </a:p>
      </xdr:txBody>
    </xdr:sp>
    <xdr:clientData/>
  </xdr:twoCellAnchor>
  <xdr:twoCellAnchor>
    <xdr:from>
      <xdr:col>9</xdr:col>
      <xdr:colOff>344805</xdr:colOff>
      <xdr:row>12</xdr:row>
      <xdr:rowOff>99060</xdr:rowOff>
    </xdr:from>
    <xdr:to>
      <xdr:col>12</xdr:col>
      <xdr:colOff>192405</xdr:colOff>
      <xdr:row>16</xdr:row>
      <xdr:rowOff>110490</xdr:rowOff>
    </xdr:to>
    <xdr:sp macro="" textlink="">
      <xdr:nvSpPr>
        <xdr:cNvPr id="4" name="textruta 1">
          <a:extLst>
            <a:ext uri="{FF2B5EF4-FFF2-40B4-BE49-F238E27FC236}">
              <a16:creationId xmlns:a16="http://schemas.microsoft.com/office/drawing/2014/main" id="{00000000-0008-0000-2300-000004000000}"/>
            </a:ext>
          </a:extLst>
        </xdr:cNvPr>
        <xdr:cNvSpPr txBox="1"/>
      </xdr:nvSpPr>
      <xdr:spPr>
        <a:xfrm>
          <a:off x="5968365" y="1653540"/>
          <a:ext cx="1722120" cy="52959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Godstrafik</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401</xdr:row>
      <xdr:rowOff>47625</xdr:rowOff>
    </xdr:from>
    <xdr:to>
      <xdr:col>1</xdr:col>
      <xdr:colOff>934319</xdr:colOff>
      <xdr:row>403</xdr:row>
      <xdr:rowOff>93756</xdr:rowOff>
    </xdr:to>
    <xdr:pic>
      <xdr:nvPicPr>
        <xdr:cNvPr id="2" name="Bildobjekt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6200" y="112185450"/>
          <a:ext cx="1231499" cy="341406"/>
        </a:xfrm>
        <a:prstGeom prst="rect">
          <a:avLst/>
        </a:prstGeom>
      </xdr:spPr>
    </xdr:pic>
    <xdr:clientData/>
  </xdr:twoCellAnchor>
</xdr:wsDr>
</file>

<file path=xl/drawings/drawing30.xml><?xml version="1.0" encoding="utf-8"?>
<c:userShapes xmlns:c="http://schemas.openxmlformats.org/drawingml/2006/chart">
  <cdr:relSizeAnchor xmlns:cdr="http://schemas.openxmlformats.org/drawingml/2006/chartDrawing">
    <cdr:from>
      <cdr:x>0.00266</cdr:x>
      <cdr:y>0.10656</cdr:y>
    </cdr:from>
    <cdr:to>
      <cdr:x>0.04839</cdr:x>
      <cdr:y>0.69309</cdr:y>
    </cdr:to>
    <cdr:sp macro="" textlink="">
      <cdr:nvSpPr>
        <cdr:cNvPr id="2" name="textruta 1"/>
        <cdr:cNvSpPr txBox="1"/>
      </cdr:nvSpPr>
      <cdr:spPr>
        <a:xfrm xmlns:a="http://schemas.openxmlformats.org/drawingml/2006/main" rot="16200000">
          <a:off x="-1382033" y="2004050"/>
          <a:ext cx="3276575" cy="4590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a:t>
          </a:r>
          <a:r>
            <a:rPr lang="sv-SE" sz="1800" b="1" baseline="0">
              <a:solidFill>
                <a:sysClr val="windowText" lastClr="000000"/>
              </a:solidFill>
              <a:latin typeface="Arial" panose="020B0604020202020204" pitchFamily="34" charset="0"/>
              <a:cs typeface="Arial" panose="020B0604020202020204" pitchFamily="34" charset="0"/>
            </a:rPr>
            <a:t> tågkilometer</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9.9608E-8</cdr:x>
      <cdr:y>0.04689</cdr:y>
    </cdr:from>
    <cdr:to>
      <cdr:x>0.03813</cdr:x>
      <cdr:y>0.6859</cdr:y>
    </cdr:to>
    <cdr:sp macro="" textlink="">
      <cdr:nvSpPr>
        <cdr:cNvPr id="2" name="textruta 1"/>
        <cdr:cNvSpPr txBox="1"/>
      </cdr:nvSpPr>
      <cdr:spPr>
        <a:xfrm xmlns:a="http://schemas.openxmlformats.org/drawingml/2006/main" rot="16200000">
          <a:off x="-1593491" y="1855429"/>
          <a:ext cx="3569783" cy="3827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a:t>
          </a:r>
          <a:r>
            <a:rPr lang="sv-SE" sz="1800" b="1" baseline="0">
              <a:solidFill>
                <a:sysClr val="windowText" lastClr="000000"/>
              </a:solidFill>
              <a:latin typeface="Arial" panose="020B0604020202020204" pitchFamily="34" charset="0"/>
              <a:cs typeface="Arial" panose="020B0604020202020204" pitchFamily="34" charset="0"/>
            </a:rPr>
            <a:t> platskilometer</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16</xdr:row>
      <xdr:rowOff>85725</xdr:rowOff>
    </xdr:from>
    <xdr:to>
      <xdr:col>14</xdr:col>
      <xdr:colOff>377826</xdr:colOff>
      <xdr:row>20</xdr:row>
      <xdr:rowOff>104775</xdr:rowOff>
    </xdr:to>
    <xdr:sp macro="" textlink="">
      <xdr:nvSpPr>
        <xdr:cNvPr id="3" name="textruta 1">
          <a:extLst>
            <a:ext uri="{FF2B5EF4-FFF2-40B4-BE49-F238E27FC236}">
              <a16:creationId xmlns:a16="http://schemas.microsoft.com/office/drawing/2014/main" id="{00000000-0008-0000-2500-000003000000}"/>
            </a:ext>
          </a:extLst>
        </xdr:cNvPr>
        <xdr:cNvSpPr txBox="1"/>
      </xdr:nvSpPr>
      <xdr:spPr>
        <a:xfrm>
          <a:off x="5505450" y="2371725"/>
          <a:ext cx="3406776"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Ståplatskilometer</a:t>
          </a:r>
        </a:p>
      </xdr:txBody>
    </xdr:sp>
    <xdr:clientData/>
  </xdr:twoCellAnchor>
  <xdr:twoCellAnchor>
    <xdr:from>
      <xdr:col>8</xdr:col>
      <xdr:colOff>581025</xdr:colOff>
      <xdr:row>27</xdr:row>
      <xdr:rowOff>85725</xdr:rowOff>
    </xdr:from>
    <xdr:to>
      <xdr:col>12</xdr:col>
      <xdr:colOff>333375</xdr:colOff>
      <xdr:row>31</xdr:row>
      <xdr:rowOff>104775</xdr:rowOff>
    </xdr:to>
    <xdr:sp macro="" textlink="">
      <xdr:nvSpPr>
        <xdr:cNvPr id="4" name="textruta 1">
          <a:extLst>
            <a:ext uri="{FF2B5EF4-FFF2-40B4-BE49-F238E27FC236}">
              <a16:creationId xmlns:a16="http://schemas.microsoft.com/office/drawing/2014/main" id="{00000000-0008-0000-2500-000004000000}"/>
            </a:ext>
          </a:extLst>
        </xdr:cNvPr>
        <xdr:cNvSpPr txBox="1"/>
      </xdr:nvSpPr>
      <xdr:spPr>
        <a:xfrm>
          <a:off x="5457825" y="3943350"/>
          <a:ext cx="219075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Sittplatskilometer</a:t>
          </a:r>
        </a:p>
      </xdr:txBody>
    </xdr:sp>
    <xdr:clientData/>
  </xdr:twoCellAnchor>
</xdr:wsDr>
</file>

<file path=xl/drawings/drawing34.xml><?xml version="1.0" encoding="utf-8"?>
<c:userShapes xmlns:c="http://schemas.openxmlformats.org/drawingml/2006/chart">
  <cdr:relSizeAnchor xmlns:cdr="http://schemas.openxmlformats.org/drawingml/2006/chartDrawing">
    <cdr:from>
      <cdr:x>9.9608E-8</cdr:x>
      <cdr:y>0.08951</cdr:y>
    </cdr:from>
    <cdr:to>
      <cdr:x>0.03529</cdr:x>
      <cdr:y>0.72682</cdr:y>
    </cdr:to>
    <cdr:sp macro="" textlink="">
      <cdr:nvSpPr>
        <cdr:cNvPr id="2" name="textruta 1"/>
        <cdr:cNvSpPr txBox="1"/>
      </cdr:nvSpPr>
      <cdr:spPr>
        <a:xfrm xmlns:a="http://schemas.openxmlformats.org/drawingml/2006/main" rot="16200000">
          <a:off x="-1602982" y="2103046"/>
          <a:ext cx="3560254" cy="3542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a:t>
          </a:r>
          <a:r>
            <a:rPr lang="sv-SE" sz="1800" b="1" baseline="0">
              <a:solidFill>
                <a:sysClr val="windowText" lastClr="000000"/>
              </a:solidFill>
              <a:latin typeface="Arial" panose="020B0604020202020204" pitchFamily="34" charset="0"/>
              <a:cs typeface="Arial" panose="020B0604020202020204" pitchFamily="34" charset="0"/>
            </a:rPr>
            <a:t> platskilometer</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485775</xdr:colOff>
      <xdr:row>15</xdr:row>
      <xdr:rowOff>123825</xdr:rowOff>
    </xdr:from>
    <xdr:to>
      <xdr:col>14</xdr:col>
      <xdr:colOff>342900</xdr:colOff>
      <xdr:row>20</xdr:row>
      <xdr:rowOff>0</xdr:rowOff>
    </xdr:to>
    <xdr:sp macro="" textlink="">
      <xdr:nvSpPr>
        <xdr:cNvPr id="3" name="textruta 1">
          <a:extLst>
            <a:ext uri="{FF2B5EF4-FFF2-40B4-BE49-F238E27FC236}">
              <a16:creationId xmlns:a16="http://schemas.microsoft.com/office/drawing/2014/main" id="{00000000-0008-0000-2600-000003000000}"/>
            </a:ext>
          </a:extLst>
        </xdr:cNvPr>
        <xdr:cNvSpPr txBox="1"/>
      </xdr:nvSpPr>
      <xdr:spPr>
        <a:xfrm>
          <a:off x="6581775" y="2266950"/>
          <a:ext cx="229552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ea typeface="+mn-ea"/>
              <a:cs typeface="Arial" panose="020B0604020202020204" pitchFamily="34" charset="0"/>
            </a:rPr>
            <a:t>Ståplatskilometer</a:t>
          </a:r>
        </a:p>
      </xdr:txBody>
    </xdr:sp>
    <xdr:clientData/>
  </xdr:twoCellAnchor>
  <xdr:twoCellAnchor>
    <xdr:from>
      <xdr:col>7</xdr:col>
      <xdr:colOff>180975</xdr:colOff>
      <xdr:row>27</xdr:row>
      <xdr:rowOff>114300</xdr:rowOff>
    </xdr:from>
    <xdr:to>
      <xdr:col>11</xdr:col>
      <xdr:colOff>9525</xdr:colOff>
      <xdr:row>31</xdr:row>
      <xdr:rowOff>133350</xdr:rowOff>
    </xdr:to>
    <xdr:sp macro="" textlink="">
      <xdr:nvSpPr>
        <xdr:cNvPr id="4" name="textruta 1">
          <a:extLst>
            <a:ext uri="{FF2B5EF4-FFF2-40B4-BE49-F238E27FC236}">
              <a16:creationId xmlns:a16="http://schemas.microsoft.com/office/drawing/2014/main" id="{00000000-0008-0000-2600-000004000000}"/>
            </a:ext>
          </a:extLst>
        </xdr:cNvPr>
        <xdr:cNvSpPr txBox="1"/>
      </xdr:nvSpPr>
      <xdr:spPr>
        <a:xfrm>
          <a:off x="4448175" y="3971925"/>
          <a:ext cx="226695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ea typeface="+mn-ea"/>
              <a:cs typeface="Arial" panose="020B0604020202020204" pitchFamily="34" charset="0"/>
            </a:rPr>
            <a:t>Sittplatskilometer</a:t>
          </a:r>
        </a:p>
      </xdr:txBody>
    </xdr:sp>
    <xdr:clientData/>
  </xdr:twoCellAnchor>
</xdr:wsDr>
</file>

<file path=xl/drawings/drawing36.xml><?xml version="1.0" encoding="utf-8"?>
<c:userShapes xmlns:c="http://schemas.openxmlformats.org/drawingml/2006/chart">
  <cdr:relSizeAnchor xmlns:cdr="http://schemas.openxmlformats.org/drawingml/2006/chartDrawing">
    <cdr:from>
      <cdr:x>9.9608E-8</cdr:x>
      <cdr:y>0.04689</cdr:y>
    </cdr:from>
    <cdr:to>
      <cdr:x>0.03434</cdr:x>
      <cdr:y>0.6535</cdr:y>
    </cdr:to>
    <cdr:sp macro="" textlink="">
      <cdr:nvSpPr>
        <cdr:cNvPr id="2" name="textruta 1"/>
        <cdr:cNvSpPr txBox="1"/>
      </cdr:nvSpPr>
      <cdr:spPr>
        <a:xfrm xmlns:a="http://schemas.openxmlformats.org/drawingml/2006/main" rot="16200000">
          <a:off x="-1522015" y="1783954"/>
          <a:ext cx="3388784" cy="3447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a:t>
          </a:r>
          <a:r>
            <a:rPr lang="sv-SE" sz="1800" b="1" baseline="0">
              <a:solidFill>
                <a:sysClr val="windowText" lastClr="000000"/>
              </a:solidFill>
              <a:latin typeface="Arial" panose="020B0604020202020204" pitchFamily="34" charset="0"/>
              <a:cs typeface="Arial" panose="020B0604020202020204" pitchFamily="34" charset="0"/>
            </a:rPr>
            <a:t> platskilometer</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19</xdr:col>
      <xdr:colOff>28575</xdr:colOff>
      <xdr:row>40</xdr:row>
      <xdr:rowOff>1</xdr:rowOff>
    </xdr:to>
    <xdr:graphicFrame macro="">
      <xdr:nvGraphicFramePr>
        <xdr:cNvPr id="2" name="Diagram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9</xdr:row>
      <xdr:rowOff>28575</xdr:rowOff>
    </xdr:from>
    <xdr:to>
      <xdr:col>8</xdr:col>
      <xdr:colOff>396876</xdr:colOff>
      <xdr:row>13</xdr:row>
      <xdr:rowOff>47625</xdr:rowOff>
    </xdr:to>
    <xdr:sp macro="" textlink="">
      <xdr:nvSpPr>
        <xdr:cNvPr id="4" name="textruta 1">
          <a:extLst>
            <a:ext uri="{FF2B5EF4-FFF2-40B4-BE49-F238E27FC236}">
              <a16:creationId xmlns:a16="http://schemas.microsoft.com/office/drawing/2014/main" id="{00000000-0008-0000-2700-000004000000}"/>
            </a:ext>
          </a:extLst>
        </xdr:cNvPr>
        <xdr:cNvSpPr txBox="1"/>
      </xdr:nvSpPr>
      <xdr:spPr>
        <a:xfrm>
          <a:off x="1866900" y="1314450"/>
          <a:ext cx="3406776"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Transporterad godsmängd</a:t>
          </a:r>
        </a:p>
      </xdr:txBody>
    </xdr:sp>
    <xdr:clientData/>
  </xdr:twoCellAnchor>
  <xdr:twoCellAnchor>
    <xdr:from>
      <xdr:col>10</xdr:col>
      <xdr:colOff>323850</xdr:colOff>
      <xdr:row>27</xdr:row>
      <xdr:rowOff>9525</xdr:rowOff>
    </xdr:from>
    <xdr:to>
      <xdr:col>13</xdr:col>
      <xdr:colOff>485775</xdr:colOff>
      <xdr:row>31</xdr:row>
      <xdr:rowOff>28575</xdr:rowOff>
    </xdr:to>
    <xdr:sp macro="" textlink="">
      <xdr:nvSpPr>
        <xdr:cNvPr id="5" name="textruta 1">
          <a:extLst>
            <a:ext uri="{FF2B5EF4-FFF2-40B4-BE49-F238E27FC236}">
              <a16:creationId xmlns:a16="http://schemas.microsoft.com/office/drawing/2014/main" id="{00000000-0008-0000-2700-000005000000}"/>
            </a:ext>
          </a:extLst>
        </xdr:cNvPr>
        <xdr:cNvSpPr txBox="1"/>
      </xdr:nvSpPr>
      <xdr:spPr>
        <a:xfrm>
          <a:off x="6419850" y="3867150"/>
          <a:ext cx="199072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Transportarbete</a:t>
          </a:r>
        </a:p>
      </xdr:txBody>
    </xdr:sp>
    <xdr:clientData/>
  </xdr:twoCellAnchor>
</xdr:wsDr>
</file>

<file path=xl/drawings/drawing38.xml><?xml version="1.0" encoding="utf-8"?>
<c:userShapes xmlns:c="http://schemas.openxmlformats.org/drawingml/2006/chart">
  <cdr:relSizeAnchor xmlns:cdr="http://schemas.openxmlformats.org/drawingml/2006/chartDrawing">
    <cdr:from>
      <cdr:x>8.66944E-8</cdr:x>
      <cdr:y>0.11509</cdr:y>
    </cdr:from>
    <cdr:to>
      <cdr:x>0.0315</cdr:x>
      <cdr:y>0.58902</cdr:y>
    </cdr:to>
    <cdr:sp macro="" textlink="">
      <cdr:nvSpPr>
        <cdr:cNvPr id="2" name="textruta 1"/>
        <cdr:cNvSpPr txBox="1"/>
      </cdr:nvSpPr>
      <cdr:spPr>
        <a:xfrm xmlns:a="http://schemas.openxmlformats.org/drawingml/2006/main" rot="16200000">
          <a:off x="-1142113" y="1785052"/>
          <a:ext cx="2647572" cy="3633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Tusentals</a:t>
          </a:r>
          <a:r>
            <a:rPr lang="sv-SE" sz="1800" b="1" baseline="0">
              <a:solidFill>
                <a:sysClr val="windowText" lastClr="000000"/>
              </a:solidFill>
              <a:latin typeface="Arial" panose="020B0604020202020204" pitchFamily="34" charset="0"/>
              <a:cs typeface="Arial" panose="020B0604020202020204" pitchFamily="34" charset="0"/>
            </a:rPr>
            <a:t> ton</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0.9592</cdr:x>
      <cdr:y>0.02813</cdr:y>
    </cdr:from>
    <cdr:to>
      <cdr:x>1</cdr:x>
      <cdr:y>0.67228</cdr:y>
    </cdr:to>
    <cdr:sp macro="" textlink="">
      <cdr:nvSpPr>
        <cdr:cNvPr id="4" name="textruta 1"/>
        <cdr:cNvSpPr txBox="1"/>
      </cdr:nvSpPr>
      <cdr:spPr>
        <a:xfrm xmlns:a="http://schemas.openxmlformats.org/drawingml/2006/main" rot="16200000">
          <a:off x="9500231" y="1721088"/>
          <a:ext cx="3598471" cy="4706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 tonkilometer</a:t>
          </a: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xdr:colOff>
      <xdr:row>8</xdr:row>
      <xdr:rowOff>38100</xdr:rowOff>
    </xdr:from>
    <xdr:to>
      <xdr:col>10</xdr:col>
      <xdr:colOff>396876</xdr:colOff>
      <xdr:row>12</xdr:row>
      <xdr:rowOff>57150</xdr:rowOff>
    </xdr:to>
    <xdr:sp macro="" textlink="">
      <xdr:nvSpPr>
        <xdr:cNvPr id="3" name="textruta 1">
          <a:extLst>
            <a:ext uri="{FF2B5EF4-FFF2-40B4-BE49-F238E27FC236}">
              <a16:creationId xmlns:a16="http://schemas.microsoft.com/office/drawing/2014/main" id="{00000000-0008-0000-2800-000003000000}"/>
            </a:ext>
          </a:extLst>
        </xdr:cNvPr>
        <xdr:cNvSpPr txBox="1"/>
      </xdr:nvSpPr>
      <xdr:spPr>
        <a:xfrm>
          <a:off x="3086100" y="1181100"/>
          <a:ext cx="3406776"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Transporterad godsmängd</a:t>
          </a:r>
        </a:p>
      </xdr:txBody>
    </xdr:sp>
    <xdr:clientData/>
  </xdr:twoCellAnchor>
  <xdr:twoCellAnchor>
    <xdr:from>
      <xdr:col>10</xdr:col>
      <xdr:colOff>352425</xdr:colOff>
      <xdr:row>27</xdr:row>
      <xdr:rowOff>47625</xdr:rowOff>
    </xdr:from>
    <xdr:to>
      <xdr:col>13</xdr:col>
      <xdr:colOff>504825</xdr:colOff>
      <xdr:row>31</xdr:row>
      <xdr:rowOff>66675</xdr:rowOff>
    </xdr:to>
    <xdr:sp macro="" textlink="">
      <xdr:nvSpPr>
        <xdr:cNvPr id="4" name="textruta 1">
          <a:extLst>
            <a:ext uri="{FF2B5EF4-FFF2-40B4-BE49-F238E27FC236}">
              <a16:creationId xmlns:a16="http://schemas.microsoft.com/office/drawing/2014/main" id="{00000000-0008-0000-2800-000004000000}"/>
            </a:ext>
          </a:extLst>
        </xdr:cNvPr>
        <xdr:cNvSpPr txBox="1"/>
      </xdr:nvSpPr>
      <xdr:spPr>
        <a:xfrm>
          <a:off x="6448425" y="3905250"/>
          <a:ext cx="198120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Transportarbete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71</xdr:row>
      <xdr:rowOff>114300</xdr:rowOff>
    </xdr:from>
    <xdr:to>
      <xdr:col>10</xdr:col>
      <xdr:colOff>74874</xdr:colOff>
      <xdr:row>73</xdr:row>
      <xdr:rowOff>20341</xdr:rowOff>
    </xdr:to>
    <xdr:pic>
      <xdr:nvPicPr>
        <xdr:cNvPr id="3" name="Bildobjekt 2">
          <a:extLst>
            <a:ext uri="{FF2B5EF4-FFF2-40B4-BE49-F238E27FC236}">
              <a16:creationId xmlns:a16="http://schemas.microsoft.com/office/drawing/2014/main" id="{F09E02BA-A910-4E2C-8E28-851D58BF77C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171450" y="1157287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40.xml><?xml version="1.0" encoding="utf-8"?>
<c:userShapes xmlns:c="http://schemas.openxmlformats.org/drawingml/2006/chart">
  <cdr:relSizeAnchor xmlns:cdr="http://schemas.openxmlformats.org/drawingml/2006/chartDrawing">
    <cdr:from>
      <cdr:x>9.9608E-8</cdr:x>
      <cdr:y>0.13725</cdr:y>
    </cdr:from>
    <cdr:to>
      <cdr:x>0.0353</cdr:x>
      <cdr:y>0.60266</cdr:y>
    </cdr:to>
    <cdr:sp macro="" textlink="">
      <cdr:nvSpPr>
        <cdr:cNvPr id="2" name="textruta 1"/>
        <cdr:cNvSpPr txBox="1"/>
      </cdr:nvSpPr>
      <cdr:spPr>
        <a:xfrm xmlns:a="http://schemas.openxmlformats.org/drawingml/2006/main" rot="16200000">
          <a:off x="-1122777" y="1889541"/>
          <a:ext cx="2599945" cy="3543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Tusentals</a:t>
          </a:r>
          <a:r>
            <a:rPr lang="sv-SE" sz="1800" b="1" baseline="0">
              <a:solidFill>
                <a:sysClr val="windowText" lastClr="000000"/>
              </a:solidFill>
              <a:latin typeface="Arial" panose="020B0604020202020204" pitchFamily="34" charset="0"/>
              <a:cs typeface="Arial" panose="020B0604020202020204" pitchFamily="34" charset="0"/>
            </a:rPr>
            <a:t> ton</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0.963</cdr:x>
      <cdr:y>0.06223</cdr:y>
    </cdr:from>
    <cdr:to>
      <cdr:x>1</cdr:x>
      <cdr:y>0.69956</cdr:y>
    </cdr:to>
    <cdr:sp macro="" textlink="">
      <cdr:nvSpPr>
        <cdr:cNvPr id="4" name="textruta 1"/>
        <cdr:cNvSpPr txBox="1"/>
      </cdr:nvSpPr>
      <cdr:spPr>
        <a:xfrm xmlns:a="http://schemas.openxmlformats.org/drawingml/2006/main" rot="16200000">
          <a:off x="8073438" y="1942120"/>
          <a:ext cx="3560369" cy="3714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 tonkilometer</a:t>
          </a:r>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466725</xdr:colOff>
      <xdr:row>18</xdr:row>
      <xdr:rowOff>0</xdr:rowOff>
    </xdr:from>
    <xdr:to>
      <xdr:col>18</xdr:col>
      <xdr:colOff>215901</xdr:colOff>
      <xdr:row>22</xdr:row>
      <xdr:rowOff>19050</xdr:rowOff>
    </xdr:to>
    <xdr:sp macro="" textlink="">
      <xdr:nvSpPr>
        <xdr:cNvPr id="3" name="textruta 1">
          <a:extLst>
            <a:ext uri="{FF2B5EF4-FFF2-40B4-BE49-F238E27FC236}">
              <a16:creationId xmlns:a16="http://schemas.microsoft.com/office/drawing/2014/main" id="{00000000-0008-0000-2900-000003000000}"/>
            </a:ext>
          </a:extLst>
        </xdr:cNvPr>
        <xdr:cNvSpPr txBox="1"/>
      </xdr:nvSpPr>
      <xdr:spPr>
        <a:xfrm>
          <a:off x="7781925" y="2571750"/>
          <a:ext cx="3406776"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Vagnslastgods</a:t>
          </a:r>
        </a:p>
      </xdr:txBody>
    </xdr:sp>
    <xdr:clientData/>
  </xdr:twoCellAnchor>
  <xdr:twoCellAnchor>
    <xdr:from>
      <xdr:col>7</xdr:col>
      <xdr:colOff>133350</xdr:colOff>
      <xdr:row>6</xdr:row>
      <xdr:rowOff>0</xdr:rowOff>
    </xdr:from>
    <xdr:to>
      <xdr:col>15</xdr:col>
      <xdr:colOff>171450</xdr:colOff>
      <xdr:row>10</xdr:row>
      <xdr:rowOff>19050</xdr:rowOff>
    </xdr:to>
    <xdr:sp macro="" textlink="">
      <xdr:nvSpPr>
        <xdr:cNvPr id="4" name="textruta 1">
          <a:extLst>
            <a:ext uri="{FF2B5EF4-FFF2-40B4-BE49-F238E27FC236}">
              <a16:creationId xmlns:a16="http://schemas.microsoft.com/office/drawing/2014/main" id="{00000000-0008-0000-2900-000004000000}"/>
            </a:ext>
          </a:extLst>
        </xdr:cNvPr>
        <xdr:cNvSpPr txBox="1"/>
      </xdr:nvSpPr>
      <xdr:spPr>
        <a:xfrm>
          <a:off x="4400550" y="857250"/>
          <a:ext cx="491490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1" fontAlgn="auto" latinLnBrk="0" hangingPunct="1"/>
          <a:r>
            <a:rPr lang="sv-SE" sz="1800" b="1">
              <a:effectLst/>
              <a:latin typeface="Arial" panose="020B0604020202020204" pitchFamily="34" charset="0"/>
              <a:ea typeface="+mn-ea"/>
              <a:cs typeface="Arial" panose="020B0604020202020204" pitchFamily="34" charset="0"/>
            </a:rPr>
            <a:t>Kombi – semi-trailers och andra vägfordon</a:t>
          </a:r>
          <a:endParaRPr lang="sv-SE" sz="1800">
            <a:effectLst/>
            <a:latin typeface="Arial" panose="020B0604020202020204" pitchFamily="34" charset="0"/>
            <a:cs typeface="Arial" panose="020B0604020202020204" pitchFamily="34" charset="0"/>
          </a:endParaRPr>
        </a:p>
      </xdr:txBody>
    </xdr:sp>
    <xdr:clientData/>
  </xdr:twoCellAnchor>
  <xdr:twoCellAnchor>
    <xdr:from>
      <xdr:col>7</xdr:col>
      <xdr:colOff>152400</xdr:colOff>
      <xdr:row>30</xdr:row>
      <xdr:rowOff>38100</xdr:rowOff>
    </xdr:from>
    <xdr:to>
      <xdr:col>12</xdr:col>
      <xdr:colOff>511176</xdr:colOff>
      <xdr:row>34</xdr:row>
      <xdr:rowOff>57150</xdr:rowOff>
    </xdr:to>
    <xdr:sp macro="" textlink="">
      <xdr:nvSpPr>
        <xdr:cNvPr id="5" name="textruta 1">
          <a:extLst>
            <a:ext uri="{FF2B5EF4-FFF2-40B4-BE49-F238E27FC236}">
              <a16:creationId xmlns:a16="http://schemas.microsoft.com/office/drawing/2014/main" id="{00000000-0008-0000-2900-000005000000}"/>
            </a:ext>
          </a:extLst>
        </xdr:cNvPr>
        <xdr:cNvSpPr txBox="1"/>
      </xdr:nvSpPr>
      <xdr:spPr>
        <a:xfrm>
          <a:off x="4419600" y="4324350"/>
          <a:ext cx="3406776"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Malm på Malmbanan</a:t>
          </a:r>
        </a:p>
      </xdr:txBody>
    </xdr:sp>
    <xdr:clientData/>
  </xdr:twoCellAnchor>
  <xdr:twoCellAnchor>
    <xdr:from>
      <xdr:col>8</xdr:col>
      <xdr:colOff>323850</xdr:colOff>
      <xdr:row>10</xdr:row>
      <xdr:rowOff>95250</xdr:rowOff>
    </xdr:from>
    <xdr:to>
      <xdr:col>14</xdr:col>
      <xdr:colOff>504825</xdr:colOff>
      <xdr:row>14</xdr:row>
      <xdr:rowOff>114300</xdr:rowOff>
    </xdr:to>
    <xdr:sp macro="" textlink="">
      <xdr:nvSpPr>
        <xdr:cNvPr id="6" name="textruta 1">
          <a:extLst>
            <a:ext uri="{FF2B5EF4-FFF2-40B4-BE49-F238E27FC236}">
              <a16:creationId xmlns:a16="http://schemas.microsoft.com/office/drawing/2014/main" id="{00000000-0008-0000-2900-000006000000}"/>
            </a:ext>
          </a:extLst>
        </xdr:cNvPr>
        <xdr:cNvSpPr txBox="1"/>
      </xdr:nvSpPr>
      <xdr:spPr>
        <a:xfrm>
          <a:off x="5200650" y="1524000"/>
          <a:ext cx="38385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ea typeface="+mn-ea"/>
              <a:cs typeface="Arial" panose="020B0604020202020204" pitchFamily="34" charset="0"/>
            </a:rPr>
            <a:t>Kombi – </a:t>
          </a:r>
          <a:r>
            <a:rPr lang="sv-SE" sz="1800" b="1">
              <a:latin typeface="Arial" panose="020B0604020202020204" pitchFamily="34" charset="0"/>
              <a:cs typeface="Arial" panose="020B0604020202020204" pitchFamily="34" charset="0"/>
            </a:rPr>
            <a:t>containrar och växelflak</a:t>
          </a:r>
        </a:p>
      </xdr:txBody>
    </xdr:sp>
    <xdr:clientData/>
  </xdr:twoCellAnchor>
</xdr:wsDr>
</file>

<file path=xl/drawings/drawing42.xml><?xml version="1.0" encoding="utf-8"?>
<c:userShapes xmlns:c="http://schemas.openxmlformats.org/drawingml/2006/chart">
  <cdr:relSizeAnchor xmlns:cdr="http://schemas.openxmlformats.org/drawingml/2006/chartDrawing">
    <cdr:from>
      <cdr:x>9.9608E-8</cdr:x>
      <cdr:y>0.06223</cdr:y>
    </cdr:from>
    <cdr:to>
      <cdr:x>0.03718</cdr:x>
      <cdr:y>0.67908</cdr:y>
    </cdr:to>
    <cdr:sp macro="" textlink="">
      <cdr:nvSpPr>
        <cdr:cNvPr id="2" name="textruta 1"/>
        <cdr:cNvSpPr txBox="1"/>
      </cdr:nvSpPr>
      <cdr:spPr>
        <a:xfrm xmlns:a="http://schemas.openxmlformats.org/drawingml/2006/main" rot="16200000">
          <a:off x="-1536347" y="1884011"/>
          <a:ext cx="3445959" cy="3732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a:t>
          </a:r>
          <a:r>
            <a:rPr lang="sv-SE" sz="1800" b="1" baseline="0">
              <a:solidFill>
                <a:sysClr val="windowText" lastClr="000000"/>
              </a:solidFill>
              <a:latin typeface="Arial" panose="020B0604020202020204" pitchFamily="34" charset="0"/>
              <a:cs typeface="Arial" panose="020B0604020202020204" pitchFamily="34" charset="0"/>
            </a:rPr>
            <a:t> tonkilometer</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409575</xdr:colOff>
      <xdr:row>11</xdr:row>
      <xdr:rowOff>66675</xdr:rowOff>
    </xdr:from>
    <xdr:to>
      <xdr:col>11</xdr:col>
      <xdr:colOff>495300</xdr:colOff>
      <xdr:row>15</xdr:row>
      <xdr:rowOff>85725</xdr:rowOff>
    </xdr:to>
    <xdr:sp macro="" textlink="">
      <xdr:nvSpPr>
        <xdr:cNvPr id="3" name="textruta 1">
          <a:extLst>
            <a:ext uri="{FF2B5EF4-FFF2-40B4-BE49-F238E27FC236}">
              <a16:creationId xmlns:a16="http://schemas.microsoft.com/office/drawing/2014/main" id="{00000000-0008-0000-2A00-000003000000}"/>
            </a:ext>
          </a:extLst>
        </xdr:cNvPr>
        <xdr:cNvSpPr txBox="1"/>
      </xdr:nvSpPr>
      <xdr:spPr>
        <a:xfrm>
          <a:off x="5895975" y="1638300"/>
          <a:ext cx="130492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Utrikes</a:t>
          </a:r>
        </a:p>
      </xdr:txBody>
    </xdr:sp>
    <xdr:clientData/>
  </xdr:twoCellAnchor>
  <xdr:twoCellAnchor>
    <xdr:from>
      <xdr:col>13</xdr:col>
      <xdr:colOff>85725</xdr:colOff>
      <xdr:row>22</xdr:row>
      <xdr:rowOff>133350</xdr:rowOff>
    </xdr:from>
    <xdr:to>
      <xdr:col>14</xdr:col>
      <xdr:colOff>495300</xdr:colOff>
      <xdr:row>27</xdr:row>
      <xdr:rowOff>9525</xdr:rowOff>
    </xdr:to>
    <xdr:sp macro="" textlink="">
      <xdr:nvSpPr>
        <xdr:cNvPr id="4" name="textruta 1">
          <a:extLst>
            <a:ext uri="{FF2B5EF4-FFF2-40B4-BE49-F238E27FC236}">
              <a16:creationId xmlns:a16="http://schemas.microsoft.com/office/drawing/2014/main" id="{00000000-0008-0000-2A00-000004000000}"/>
            </a:ext>
          </a:extLst>
        </xdr:cNvPr>
        <xdr:cNvSpPr txBox="1"/>
      </xdr:nvSpPr>
      <xdr:spPr>
        <a:xfrm>
          <a:off x="8010525" y="3276600"/>
          <a:ext cx="10191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Inrikes</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cdr:x>
      <cdr:y>0.08099</cdr:y>
    </cdr:from>
    <cdr:to>
      <cdr:x>0.03908</cdr:x>
      <cdr:y>0.69101</cdr:y>
    </cdr:to>
    <cdr:sp macro="" textlink="">
      <cdr:nvSpPr>
        <cdr:cNvPr id="2" name="textruta 1"/>
        <cdr:cNvSpPr txBox="1"/>
      </cdr:nvSpPr>
      <cdr:spPr>
        <a:xfrm xmlns:a="http://schemas.openxmlformats.org/drawingml/2006/main" rot="16200000">
          <a:off x="-1507747" y="1960184"/>
          <a:ext cx="3407831" cy="3923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a:t>
          </a:r>
          <a:r>
            <a:rPr lang="sv-SE" sz="1800" b="1" baseline="0">
              <a:solidFill>
                <a:sysClr val="windowText" lastClr="000000"/>
              </a:solidFill>
              <a:latin typeface="Arial" panose="020B0604020202020204" pitchFamily="34" charset="0"/>
              <a:cs typeface="Arial" panose="020B0604020202020204" pitchFamily="34" charset="0"/>
            </a:rPr>
            <a:t> tonkilometer</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95250</xdr:colOff>
      <xdr:row>25</xdr:row>
      <xdr:rowOff>9525</xdr:rowOff>
    </xdr:from>
    <xdr:to>
      <xdr:col>13</xdr:col>
      <xdr:colOff>533400</xdr:colOff>
      <xdr:row>29</xdr:row>
      <xdr:rowOff>28575</xdr:rowOff>
    </xdr:to>
    <xdr:sp macro="" textlink="">
      <xdr:nvSpPr>
        <xdr:cNvPr id="3" name="textruta 1">
          <a:extLst>
            <a:ext uri="{FF2B5EF4-FFF2-40B4-BE49-F238E27FC236}">
              <a16:creationId xmlns:a16="http://schemas.microsoft.com/office/drawing/2014/main" id="{00000000-0008-0000-2B00-000003000000}"/>
            </a:ext>
          </a:extLst>
        </xdr:cNvPr>
        <xdr:cNvSpPr txBox="1"/>
      </xdr:nvSpPr>
      <xdr:spPr>
        <a:xfrm>
          <a:off x="7410450" y="3581400"/>
          <a:ext cx="104775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Inrikes</a:t>
          </a:r>
        </a:p>
      </xdr:txBody>
    </xdr:sp>
    <xdr:clientData/>
  </xdr:twoCellAnchor>
  <xdr:twoCellAnchor>
    <xdr:from>
      <xdr:col>12</xdr:col>
      <xdr:colOff>47625</xdr:colOff>
      <xdr:row>14</xdr:row>
      <xdr:rowOff>0</xdr:rowOff>
    </xdr:from>
    <xdr:to>
      <xdr:col>13</xdr:col>
      <xdr:colOff>447675</xdr:colOff>
      <xdr:row>18</xdr:row>
      <xdr:rowOff>19050</xdr:rowOff>
    </xdr:to>
    <xdr:sp macro="" textlink="">
      <xdr:nvSpPr>
        <xdr:cNvPr id="4" name="textruta 1">
          <a:extLst>
            <a:ext uri="{FF2B5EF4-FFF2-40B4-BE49-F238E27FC236}">
              <a16:creationId xmlns:a16="http://schemas.microsoft.com/office/drawing/2014/main" id="{00000000-0008-0000-2B00-000004000000}"/>
            </a:ext>
          </a:extLst>
        </xdr:cNvPr>
        <xdr:cNvSpPr txBox="1"/>
      </xdr:nvSpPr>
      <xdr:spPr>
        <a:xfrm>
          <a:off x="7362825" y="2000250"/>
          <a:ext cx="100965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Utrikes</a:t>
          </a:r>
        </a:p>
      </xdr:txBody>
    </xdr:sp>
    <xdr:clientData/>
  </xdr:twoCellAnchor>
</xdr:wsDr>
</file>

<file path=xl/drawings/drawing46.xml><?xml version="1.0" encoding="utf-8"?>
<c:userShapes xmlns:c="http://schemas.openxmlformats.org/drawingml/2006/chart">
  <cdr:relSizeAnchor xmlns:cdr="http://schemas.openxmlformats.org/drawingml/2006/chartDrawing">
    <cdr:from>
      <cdr:x>1.99216E-7</cdr:x>
      <cdr:y>0.07246</cdr:y>
    </cdr:from>
    <cdr:to>
      <cdr:x>0.03813</cdr:x>
      <cdr:y>0.65691</cdr:y>
    </cdr:to>
    <cdr:sp macro="" textlink="">
      <cdr:nvSpPr>
        <cdr:cNvPr id="2" name="textruta 1"/>
        <cdr:cNvSpPr txBox="1"/>
      </cdr:nvSpPr>
      <cdr:spPr>
        <a:xfrm xmlns:a="http://schemas.openxmlformats.org/drawingml/2006/main" rot="16200000">
          <a:off x="-1441079" y="1845893"/>
          <a:ext cx="3264959" cy="3827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a:t>
          </a:r>
          <a:r>
            <a:rPr lang="sv-SE" sz="1800" b="1" baseline="0">
              <a:solidFill>
                <a:sysClr val="windowText" lastClr="000000"/>
              </a:solidFill>
              <a:latin typeface="Arial" panose="020B0604020202020204" pitchFamily="34" charset="0"/>
              <a:cs typeface="Arial" panose="020B0604020202020204" pitchFamily="34" charset="0"/>
            </a:rPr>
            <a:t> tonkilometer</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28575</xdr:colOff>
      <xdr:row>26</xdr:row>
      <xdr:rowOff>123825</xdr:rowOff>
    </xdr:from>
    <xdr:to>
      <xdr:col>15</xdr:col>
      <xdr:colOff>314325</xdr:colOff>
      <xdr:row>31</xdr:row>
      <xdr:rowOff>0</xdr:rowOff>
    </xdr:to>
    <xdr:sp macro="" textlink="">
      <xdr:nvSpPr>
        <xdr:cNvPr id="3" name="textruta 1">
          <a:extLst>
            <a:ext uri="{FF2B5EF4-FFF2-40B4-BE49-F238E27FC236}">
              <a16:creationId xmlns:a16="http://schemas.microsoft.com/office/drawing/2014/main" id="{00000000-0008-0000-2D00-000003000000}"/>
            </a:ext>
          </a:extLst>
        </xdr:cNvPr>
        <xdr:cNvSpPr txBox="1"/>
      </xdr:nvSpPr>
      <xdr:spPr>
        <a:xfrm>
          <a:off x="7343775" y="3838575"/>
          <a:ext cx="211455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Regionala resor</a:t>
          </a:r>
        </a:p>
      </xdr:txBody>
    </xdr:sp>
    <xdr:clientData/>
  </xdr:twoCellAnchor>
  <xdr:twoCellAnchor>
    <xdr:from>
      <xdr:col>10</xdr:col>
      <xdr:colOff>295274</xdr:colOff>
      <xdr:row>18</xdr:row>
      <xdr:rowOff>9525</xdr:rowOff>
    </xdr:from>
    <xdr:to>
      <xdr:col>13</xdr:col>
      <xdr:colOff>438150</xdr:colOff>
      <xdr:row>22</xdr:row>
      <xdr:rowOff>28575</xdr:rowOff>
    </xdr:to>
    <xdr:sp macro="" textlink="">
      <xdr:nvSpPr>
        <xdr:cNvPr id="4" name="textruta 1">
          <a:extLst>
            <a:ext uri="{FF2B5EF4-FFF2-40B4-BE49-F238E27FC236}">
              <a16:creationId xmlns:a16="http://schemas.microsoft.com/office/drawing/2014/main" id="{00000000-0008-0000-2D00-000004000000}"/>
            </a:ext>
          </a:extLst>
        </xdr:cNvPr>
        <xdr:cNvSpPr txBox="1"/>
      </xdr:nvSpPr>
      <xdr:spPr>
        <a:xfrm>
          <a:off x="6391274" y="2581275"/>
          <a:ext cx="1971676"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Långväga resor</a:t>
          </a:r>
        </a:p>
        <a:p>
          <a:endParaRPr lang="sv-SE" sz="1800" b="1">
            <a:latin typeface="Arial" panose="020B0604020202020204" pitchFamily="34" charset="0"/>
            <a:cs typeface="Arial" panose="020B0604020202020204" pitchFamily="34" charset="0"/>
          </a:endParaRPr>
        </a:p>
      </xdr:txBody>
    </xdr:sp>
    <xdr:clientData/>
  </xdr:twoCellAnchor>
</xdr:wsDr>
</file>

<file path=xl/drawings/drawing48.xml><?xml version="1.0" encoding="utf-8"?>
<c:userShapes xmlns:c="http://schemas.openxmlformats.org/drawingml/2006/chart">
  <cdr:relSizeAnchor xmlns:cdr="http://schemas.openxmlformats.org/drawingml/2006/chartDrawing">
    <cdr:from>
      <cdr:x>0</cdr:x>
      <cdr:y>0.02472</cdr:y>
    </cdr:from>
    <cdr:to>
      <cdr:x>0.03543</cdr:x>
      <cdr:y>0.72061</cdr:y>
    </cdr:to>
    <cdr:sp macro="" textlink="">
      <cdr:nvSpPr>
        <cdr:cNvPr id="2" name="textruta 1"/>
        <cdr:cNvSpPr txBox="1"/>
      </cdr:nvSpPr>
      <cdr:spPr>
        <a:xfrm xmlns:a="http://schemas.openxmlformats.org/drawingml/2006/main" rot="16200000">
          <a:off x="-1765910" y="1904023"/>
          <a:ext cx="3887514" cy="3556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 personkilometer</a:t>
          </a:r>
        </a:p>
      </cdr:txBody>
    </cdr:sp>
  </cdr:relSizeAnchor>
</c:userShapes>
</file>

<file path=xl/drawings/drawing49.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79</xdr:row>
      <xdr:rowOff>19050</xdr:rowOff>
    </xdr:from>
    <xdr:to>
      <xdr:col>10</xdr:col>
      <xdr:colOff>170124</xdr:colOff>
      <xdr:row>80</xdr:row>
      <xdr:rowOff>125116</xdr:rowOff>
    </xdr:to>
    <xdr:pic>
      <xdr:nvPicPr>
        <xdr:cNvPr id="5" name="Bildobjekt 4">
          <a:extLst>
            <a:ext uri="{FF2B5EF4-FFF2-40B4-BE49-F238E27FC236}">
              <a16:creationId xmlns:a16="http://schemas.microsoft.com/office/drawing/2014/main" id="{20DD2B8C-DB61-4BED-96F0-88595F6885F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114300" y="1277302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50.xml><?xml version="1.0" encoding="utf-8"?>
<c:userShapes xmlns:c="http://schemas.openxmlformats.org/drawingml/2006/chart">
  <cdr:relSizeAnchor xmlns:cdr="http://schemas.openxmlformats.org/drawingml/2006/chartDrawing">
    <cdr:from>
      <cdr:x>9.9608E-8</cdr:x>
      <cdr:y>0.00938</cdr:y>
    </cdr:from>
    <cdr:to>
      <cdr:x>0.04871</cdr:x>
      <cdr:y>0.70186</cdr:y>
    </cdr:to>
    <cdr:sp macro="" textlink="">
      <cdr:nvSpPr>
        <cdr:cNvPr id="2" name="textruta 1"/>
        <cdr:cNvSpPr txBox="1"/>
      </cdr:nvSpPr>
      <cdr:spPr>
        <a:xfrm xmlns:a="http://schemas.openxmlformats.org/drawingml/2006/main" rot="16200000">
          <a:off x="-1689737" y="1742126"/>
          <a:ext cx="3868493" cy="4890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 personkilometer</a:t>
          </a:r>
        </a:p>
      </cdr:txBody>
    </cdr:sp>
  </cdr:relSizeAnchor>
</c:userShapes>
</file>

<file path=xl/drawings/drawing51.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cdr:x>
      <cdr:y>0.0162</cdr:y>
    </cdr:from>
    <cdr:to>
      <cdr:x>0.03543</cdr:x>
      <cdr:y>0.70697</cdr:y>
    </cdr:to>
    <cdr:sp macro="" textlink="">
      <cdr:nvSpPr>
        <cdr:cNvPr id="2" name="textruta 1"/>
        <cdr:cNvSpPr txBox="1"/>
      </cdr:nvSpPr>
      <cdr:spPr>
        <a:xfrm xmlns:a="http://schemas.openxmlformats.org/drawingml/2006/main" rot="16200000">
          <a:off x="-1751623" y="1842111"/>
          <a:ext cx="3858939" cy="3556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 personkilometer</a:t>
          </a:r>
        </a:p>
      </cdr:txBody>
    </cdr:sp>
  </cdr:relSizeAnchor>
</c:userShapes>
</file>

<file path=xl/drawings/drawing53.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9525</xdr:rowOff>
    </xdr:from>
    <xdr:to>
      <xdr:col>5</xdr:col>
      <xdr:colOff>28575</xdr:colOff>
      <xdr:row>10</xdr:row>
      <xdr:rowOff>28575</xdr:rowOff>
    </xdr:to>
    <xdr:sp macro="" textlink="">
      <xdr:nvSpPr>
        <xdr:cNvPr id="3" name="textruta 1">
          <a:extLst>
            <a:ext uri="{FF2B5EF4-FFF2-40B4-BE49-F238E27FC236}">
              <a16:creationId xmlns:a16="http://schemas.microsoft.com/office/drawing/2014/main" id="{00000000-0008-0000-3100-000003000000}"/>
            </a:ext>
          </a:extLst>
        </xdr:cNvPr>
        <xdr:cNvSpPr txBox="1"/>
      </xdr:nvSpPr>
      <xdr:spPr>
        <a:xfrm>
          <a:off x="1866900" y="866775"/>
          <a:ext cx="12096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Sverige</a:t>
          </a:r>
        </a:p>
      </xdr:txBody>
    </xdr:sp>
    <xdr:clientData/>
  </xdr:twoCellAnchor>
  <xdr:twoCellAnchor>
    <xdr:from>
      <xdr:col>6</xdr:col>
      <xdr:colOff>361950</xdr:colOff>
      <xdr:row>18</xdr:row>
      <xdr:rowOff>28575</xdr:rowOff>
    </xdr:from>
    <xdr:to>
      <xdr:col>8</xdr:col>
      <xdr:colOff>352425</xdr:colOff>
      <xdr:row>22</xdr:row>
      <xdr:rowOff>47625</xdr:rowOff>
    </xdr:to>
    <xdr:sp macro="" textlink="">
      <xdr:nvSpPr>
        <xdr:cNvPr id="5" name="textruta 1">
          <a:extLst>
            <a:ext uri="{FF2B5EF4-FFF2-40B4-BE49-F238E27FC236}">
              <a16:creationId xmlns:a16="http://schemas.microsoft.com/office/drawing/2014/main" id="{00000000-0008-0000-3100-000005000000}"/>
            </a:ext>
          </a:extLst>
        </xdr:cNvPr>
        <xdr:cNvSpPr txBox="1"/>
      </xdr:nvSpPr>
      <xdr:spPr>
        <a:xfrm>
          <a:off x="4019550" y="2600325"/>
          <a:ext cx="12096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Finland</a:t>
          </a:r>
        </a:p>
      </xdr:txBody>
    </xdr:sp>
    <xdr:clientData/>
  </xdr:twoCellAnchor>
  <xdr:twoCellAnchor>
    <xdr:from>
      <xdr:col>9</xdr:col>
      <xdr:colOff>257175</xdr:colOff>
      <xdr:row>27</xdr:row>
      <xdr:rowOff>38100</xdr:rowOff>
    </xdr:from>
    <xdr:to>
      <xdr:col>11</xdr:col>
      <xdr:colOff>114300</xdr:colOff>
      <xdr:row>31</xdr:row>
      <xdr:rowOff>57150</xdr:rowOff>
    </xdr:to>
    <xdr:sp macro="" textlink="">
      <xdr:nvSpPr>
        <xdr:cNvPr id="6" name="textruta 1">
          <a:extLst>
            <a:ext uri="{FF2B5EF4-FFF2-40B4-BE49-F238E27FC236}">
              <a16:creationId xmlns:a16="http://schemas.microsoft.com/office/drawing/2014/main" id="{00000000-0008-0000-3100-000006000000}"/>
            </a:ext>
          </a:extLst>
        </xdr:cNvPr>
        <xdr:cNvSpPr txBox="1"/>
      </xdr:nvSpPr>
      <xdr:spPr>
        <a:xfrm>
          <a:off x="5743575" y="3895725"/>
          <a:ext cx="107632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Norge</a:t>
          </a:r>
        </a:p>
      </xdr:txBody>
    </xdr:sp>
    <xdr:clientData/>
  </xdr:twoCellAnchor>
  <xdr:twoCellAnchor>
    <xdr:from>
      <xdr:col>11</xdr:col>
      <xdr:colOff>304800</xdr:colOff>
      <xdr:row>31</xdr:row>
      <xdr:rowOff>95250</xdr:rowOff>
    </xdr:from>
    <xdr:to>
      <xdr:col>13</xdr:col>
      <xdr:colOff>409575</xdr:colOff>
      <xdr:row>35</xdr:row>
      <xdr:rowOff>114300</xdr:rowOff>
    </xdr:to>
    <xdr:sp macro="" textlink="">
      <xdr:nvSpPr>
        <xdr:cNvPr id="7" name="textruta 1">
          <a:extLst>
            <a:ext uri="{FF2B5EF4-FFF2-40B4-BE49-F238E27FC236}">
              <a16:creationId xmlns:a16="http://schemas.microsoft.com/office/drawing/2014/main" id="{00000000-0008-0000-3100-000007000000}"/>
            </a:ext>
          </a:extLst>
        </xdr:cNvPr>
        <xdr:cNvSpPr txBox="1"/>
      </xdr:nvSpPr>
      <xdr:spPr>
        <a:xfrm>
          <a:off x="7010400" y="4524375"/>
          <a:ext cx="13239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Danmark</a:t>
          </a:r>
        </a:p>
      </xdr:txBody>
    </xdr:sp>
    <xdr:clientData/>
  </xdr:twoCellAnchor>
</xdr:wsDr>
</file>

<file path=xl/drawings/drawing54.xml><?xml version="1.0" encoding="utf-8"?>
<c:userShapes xmlns:c="http://schemas.openxmlformats.org/drawingml/2006/chart">
  <cdr:relSizeAnchor xmlns:cdr="http://schemas.openxmlformats.org/drawingml/2006/chartDrawing">
    <cdr:from>
      <cdr:x>9.9608E-8</cdr:x>
      <cdr:y>0.0179</cdr:y>
    </cdr:from>
    <cdr:to>
      <cdr:x>0.03529</cdr:x>
      <cdr:y>0.63475</cdr:y>
    </cdr:to>
    <cdr:sp macro="" textlink="">
      <cdr:nvSpPr>
        <cdr:cNvPr id="2" name="textruta 1"/>
        <cdr:cNvSpPr txBox="1"/>
      </cdr:nvSpPr>
      <cdr:spPr>
        <a:xfrm xmlns:a="http://schemas.openxmlformats.org/drawingml/2006/main" rot="16200000">
          <a:off x="-1545836" y="1645850"/>
          <a:ext cx="3445963" cy="3542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a:t>
          </a:r>
          <a:r>
            <a:rPr lang="sv-SE" sz="1800" b="1" baseline="0">
              <a:solidFill>
                <a:sysClr val="windowText" lastClr="000000"/>
              </a:solidFill>
              <a:latin typeface="Arial" panose="020B0604020202020204" pitchFamily="34" charset="0"/>
              <a:cs typeface="Arial" panose="020B0604020202020204" pitchFamily="34" charset="0"/>
            </a:rPr>
            <a:t> tonkilometer</a:t>
          </a:r>
          <a:endParaRPr lang="sv-SE" sz="1800" b="1">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161925</xdr:colOff>
      <xdr:row>8</xdr:row>
      <xdr:rowOff>38100</xdr:rowOff>
    </xdr:from>
    <xdr:to>
      <xdr:col>14</xdr:col>
      <xdr:colOff>104775</xdr:colOff>
      <xdr:row>12</xdr:row>
      <xdr:rowOff>57150</xdr:rowOff>
    </xdr:to>
    <xdr:sp macro="" textlink="">
      <xdr:nvSpPr>
        <xdr:cNvPr id="3" name="textruta 1">
          <a:extLst>
            <a:ext uri="{FF2B5EF4-FFF2-40B4-BE49-F238E27FC236}">
              <a16:creationId xmlns:a16="http://schemas.microsoft.com/office/drawing/2014/main" id="{00000000-0008-0000-3200-000003000000}"/>
            </a:ext>
          </a:extLst>
        </xdr:cNvPr>
        <xdr:cNvSpPr txBox="1"/>
      </xdr:nvSpPr>
      <xdr:spPr>
        <a:xfrm>
          <a:off x="7477125" y="1181100"/>
          <a:ext cx="116205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Sverige</a:t>
          </a:r>
        </a:p>
      </xdr:txBody>
    </xdr:sp>
    <xdr:clientData/>
  </xdr:twoCellAnchor>
  <xdr:twoCellAnchor>
    <xdr:from>
      <xdr:col>8</xdr:col>
      <xdr:colOff>38100</xdr:colOff>
      <xdr:row>11</xdr:row>
      <xdr:rowOff>133350</xdr:rowOff>
    </xdr:from>
    <xdr:to>
      <xdr:col>10</xdr:col>
      <xdr:colOff>38100</xdr:colOff>
      <xdr:row>16</xdr:row>
      <xdr:rowOff>9525</xdr:rowOff>
    </xdr:to>
    <xdr:sp macro="" textlink="">
      <xdr:nvSpPr>
        <xdr:cNvPr id="4" name="textruta 1">
          <a:extLst>
            <a:ext uri="{FF2B5EF4-FFF2-40B4-BE49-F238E27FC236}">
              <a16:creationId xmlns:a16="http://schemas.microsoft.com/office/drawing/2014/main" id="{00000000-0008-0000-3200-000004000000}"/>
            </a:ext>
          </a:extLst>
        </xdr:cNvPr>
        <xdr:cNvSpPr txBox="1"/>
      </xdr:nvSpPr>
      <xdr:spPr>
        <a:xfrm>
          <a:off x="4914900" y="1704975"/>
          <a:ext cx="121920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Danmark</a:t>
          </a:r>
        </a:p>
      </xdr:txBody>
    </xdr:sp>
    <xdr:clientData/>
  </xdr:twoCellAnchor>
  <xdr:twoCellAnchor>
    <xdr:from>
      <xdr:col>4</xdr:col>
      <xdr:colOff>390525</xdr:colOff>
      <xdr:row>28</xdr:row>
      <xdr:rowOff>114300</xdr:rowOff>
    </xdr:from>
    <xdr:to>
      <xdr:col>6</xdr:col>
      <xdr:colOff>266700</xdr:colOff>
      <xdr:row>32</xdr:row>
      <xdr:rowOff>133350</xdr:rowOff>
    </xdr:to>
    <xdr:sp macro="" textlink="">
      <xdr:nvSpPr>
        <xdr:cNvPr id="5" name="textruta 1">
          <a:extLst>
            <a:ext uri="{FF2B5EF4-FFF2-40B4-BE49-F238E27FC236}">
              <a16:creationId xmlns:a16="http://schemas.microsoft.com/office/drawing/2014/main" id="{00000000-0008-0000-3200-000005000000}"/>
            </a:ext>
          </a:extLst>
        </xdr:cNvPr>
        <xdr:cNvSpPr txBox="1"/>
      </xdr:nvSpPr>
      <xdr:spPr>
        <a:xfrm>
          <a:off x="2828925" y="4114800"/>
          <a:ext cx="10953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Norge</a:t>
          </a:r>
        </a:p>
      </xdr:txBody>
    </xdr:sp>
    <xdr:clientData/>
  </xdr:twoCellAnchor>
  <xdr:twoCellAnchor>
    <xdr:from>
      <xdr:col>7</xdr:col>
      <xdr:colOff>123825</xdr:colOff>
      <xdr:row>24</xdr:row>
      <xdr:rowOff>76200</xdr:rowOff>
    </xdr:from>
    <xdr:to>
      <xdr:col>9</xdr:col>
      <xdr:colOff>9525</xdr:colOff>
      <xdr:row>28</xdr:row>
      <xdr:rowOff>95250</xdr:rowOff>
    </xdr:to>
    <xdr:sp macro="" textlink="">
      <xdr:nvSpPr>
        <xdr:cNvPr id="6" name="textruta 1">
          <a:extLst>
            <a:ext uri="{FF2B5EF4-FFF2-40B4-BE49-F238E27FC236}">
              <a16:creationId xmlns:a16="http://schemas.microsoft.com/office/drawing/2014/main" id="{00000000-0008-0000-3200-000006000000}"/>
            </a:ext>
          </a:extLst>
        </xdr:cNvPr>
        <xdr:cNvSpPr txBox="1"/>
      </xdr:nvSpPr>
      <xdr:spPr>
        <a:xfrm>
          <a:off x="4391025" y="3505200"/>
          <a:ext cx="1104900"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Finland</a:t>
          </a:r>
        </a:p>
      </xdr:txBody>
    </xdr:sp>
    <xdr:clientData/>
  </xdr:twoCellAnchor>
</xdr:wsDr>
</file>

<file path=xl/drawings/drawing56.xml><?xml version="1.0" encoding="utf-8"?>
<c:userShapes xmlns:c="http://schemas.openxmlformats.org/drawingml/2006/chart">
  <cdr:relSizeAnchor xmlns:cdr="http://schemas.openxmlformats.org/drawingml/2006/chartDrawing">
    <cdr:from>
      <cdr:x>2.98824E-7</cdr:x>
      <cdr:y>0.20716</cdr:y>
    </cdr:from>
    <cdr:to>
      <cdr:x>0.03244</cdr:x>
      <cdr:y>0.57166</cdr:y>
    </cdr:to>
    <cdr:sp macro="" textlink="">
      <cdr:nvSpPr>
        <cdr:cNvPr id="2" name="textruta 1"/>
        <cdr:cNvSpPr txBox="1"/>
      </cdr:nvSpPr>
      <cdr:spPr>
        <a:xfrm xmlns:a="http://schemas.openxmlformats.org/drawingml/2006/main" rot="16200000">
          <a:off x="-855280" y="2012571"/>
          <a:ext cx="2036241" cy="325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Tusental</a:t>
          </a:r>
        </a:p>
        <a:p xmlns:a="http://schemas.openxmlformats.org/drawingml/2006/main">
          <a:endParaRPr lang="sv-SE" sz="75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7.xml><?xml version="1.0" encoding="utf-8"?>
<xdr:wsDr xmlns:xdr="http://schemas.openxmlformats.org/drawingml/2006/spreadsheetDrawing" xmlns:a="http://schemas.openxmlformats.org/drawingml/2006/main">
  <xdr:twoCellAnchor>
    <xdr:from>
      <xdr:col>0</xdr:col>
      <xdr:colOff>76199</xdr:colOff>
      <xdr:row>0</xdr:row>
      <xdr:rowOff>128587</xdr:rowOff>
    </xdr:from>
    <xdr:to>
      <xdr:col>16</xdr:col>
      <xdr:colOff>361950</xdr:colOff>
      <xdr:row>40</xdr:row>
      <xdr:rowOff>1</xdr:rowOff>
    </xdr:to>
    <xdr:graphicFrame macro="">
      <xdr:nvGraphicFramePr>
        <xdr:cNvPr id="2" name="Diagram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276225</xdr:colOff>
      <xdr:row>23</xdr:row>
      <xdr:rowOff>9525</xdr:rowOff>
    </xdr:from>
    <xdr:to>
      <xdr:col>11</xdr:col>
      <xdr:colOff>266700</xdr:colOff>
      <xdr:row>27</xdr:row>
      <xdr:rowOff>28575</xdr:rowOff>
    </xdr:to>
    <xdr:sp macro="" textlink="">
      <xdr:nvSpPr>
        <xdr:cNvPr id="3" name="textruta 1">
          <a:extLst>
            <a:ext uri="{FF2B5EF4-FFF2-40B4-BE49-F238E27FC236}">
              <a16:creationId xmlns:a16="http://schemas.microsoft.com/office/drawing/2014/main" id="{00000000-0008-0000-3300-000003000000}"/>
            </a:ext>
          </a:extLst>
        </xdr:cNvPr>
        <xdr:cNvSpPr txBox="1"/>
      </xdr:nvSpPr>
      <xdr:spPr>
        <a:xfrm>
          <a:off x="5762625" y="3295650"/>
          <a:ext cx="12096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Finland</a:t>
          </a:r>
        </a:p>
      </xdr:txBody>
    </xdr:sp>
    <xdr:clientData/>
  </xdr:twoCellAnchor>
  <xdr:twoCellAnchor>
    <xdr:from>
      <xdr:col>12</xdr:col>
      <xdr:colOff>285750</xdr:colOff>
      <xdr:row>5</xdr:row>
      <xdr:rowOff>104775</xdr:rowOff>
    </xdr:from>
    <xdr:to>
      <xdr:col>14</xdr:col>
      <xdr:colOff>200025</xdr:colOff>
      <xdr:row>9</xdr:row>
      <xdr:rowOff>123825</xdr:rowOff>
    </xdr:to>
    <xdr:sp macro="" textlink="">
      <xdr:nvSpPr>
        <xdr:cNvPr id="4" name="textruta 1">
          <a:extLst>
            <a:ext uri="{FF2B5EF4-FFF2-40B4-BE49-F238E27FC236}">
              <a16:creationId xmlns:a16="http://schemas.microsoft.com/office/drawing/2014/main" id="{00000000-0008-0000-3300-000004000000}"/>
            </a:ext>
          </a:extLst>
        </xdr:cNvPr>
        <xdr:cNvSpPr txBox="1"/>
      </xdr:nvSpPr>
      <xdr:spPr>
        <a:xfrm>
          <a:off x="7600950" y="819150"/>
          <a:ext cx="11334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Sverige</a:t>
          </a:r>
        </a:p>
      </xdr:txBody>
    </xdr:sp>
    <xdr:clientData/>
  </xdr:twoCellAnchor>
  <xdr:twoCellAnchor>
    <xdr:from>
      <xdr:col>10</xdr:col>
      <xdr:colOff>447675</xdr:colOff>
      <xdr:row>17</xdr:row>
      <xdr:rowOff>57150</xdr:rowOff>
    </xdr:from>
    <xdr:to>
      <xdr:col>12</xdr:col>
      <xdr:colOff>571500</xdr:colOff>
      <xdr:row>21</xdr:row>
      <xdr:rowOff>76200</xdr:rowOff>
    </xdr:to>
    <xdr:sp macro="" textlink="">
      <xdr:nvSpPr>
        <xdr:cNvPr id="5" name="textruta 1">
          <a:extLst>
            <a:ext uri="{FF2B5EF4-FFF2-40B4-BE49-F238E27FC236}">
              <a16:creationId xmlns:a16="http://schemas.microsoft.com/office/drawing/2014/main" id="{00000000-0008-0000-3300-000005000000}"/>
            </a:ext>
          </a:extLst>
        </xdr:cNvPr>
        <xdr:cNvSpPr txBox="1"/>
      </xdr:nvSpPr>
      <xdr:spPr>
        <a:xfrm>
          <a:off x="6543675" y="2486025"/>
          <a:ext cx="134302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Danmark</a:t>
          </a:r>
        </a:p>
      </xdr:txBody>
    </xdr:sp>
    <xdr:clientData/>
  </xdr:twoCellAnchor>
  <xdr:twoCellAnchor>
    <xdr:from>
      <xdr:col>7</xdr:col>
      <xdr:colOff>361950</xdr:colOff>
      <xdr:row>27</xdr:row>
      <xdr:rowOff>76200</xdr:rowOff>
    </xdr:from>
    <xdr:to>
      <xdr:col>9</xdr:col>
      <xdr:colOff>200025</xdr:colOff>
      <xdr:row>31</xdr:row>
      <xdr:rowOff>95250</xdr:rowOff>
    </xdr:to>
    <xdr:sp macro="" textlink="">
      <xdr:nvSpPr>
        <xdr:cNvPr id="6" name="textruta 1">
          <a:extLst>
            <a:ext uri="{FF2B5EF4-FFF2-40B4-BE49-F238E27FC236}">
              <a16:creationId xmlns:a16="http://schemas.microsoft.com/office/drawing/2014/main" id="{00000000-0008-0000-3300-000006000000}"/>
            </a:ext>
          </a:extLst>
        </xdr:cNvPr>
        <xdr:cNvSpPr txBox="1"/>
      </xdr:nvSpPr>
      <xdr:spPr>
        <a:xfrm>
          <a:off x="4629150" y="3933825"/>
          <a:ext cx="1057275" cy="5905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sv-SE" sz="1800" b="1">
              <a:latin typeface="Arial" panose="020B0604020202020204" pitchFamily="34" charset="0"/>
              <a:cs typeface="Arial" panose="020B0604020202020204" pitchFamily="34" charset="0"/>
            </a:rPr>
            <a:t>Norge</a:t>
          </a:r>
        </a:p>
      </xdr:txBody>
    </xdr:sp>
    <xdr:clientData/>
  </xdr:twoCellAnchor>
</xdr:wsDr>
</file>

<file path=xl/drawings/drawing58.xml><?xml version="1.0" encoding="utf-8"?>
<c:userShapes xmlns:c="http://schemas.openxmlformats.org/drawingml/2006/chart">
  <cdr:relSizeAnchor xmlns:cdr="http://schemas.openxmlformats.org/drawingml/2006/chartDrawing">
    <cdr:from>
      <cdr:x>9.9608E-8</cdr:x>
      <cdr:y>0.00938</cdr:y>
    </cdr:from>
    <cdr:to>
      <cdr:x>0.03529</cdr:x>
      <cdr:y>0.68968</cdr:y>
    </cdr:to>
    <cdr:sp macro="" textlink="">
      <cdr:nvSpPr>
        <cdr:cNvPr id="2" name="textruta 1"/>
        <cdr:cNvSpPr txBox="1"/>
      </cdr:nvSpPr>
      <cdr:spPr>
        <a:xfrm xmlns:a="http://schemas.openxmlformats.org/drawingml/2006/main" rot="16200000">
          <a:off x="-1723079" y="1775468"/>
          <a:ext cx="3800450" cy="3542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800" b="1">
              <a:solidFill>
                <a:sysClr val="windowText" lastClr="000000"/>
              </a:solidFill>
              <a:latin typeface="Arial" panose="020B0604020202020204" pitchFamily="34" charset="0"/>
              <a:cs typeface="Arial" panose="020B0604020202020204" pitchFamily="34" charset="0"/>
            </a:rPr>
            <a:t>Miljoner personkilometer</a:t>
          </a:r>
        </a:p>
        <a:p xmlns:a="http://schemas.openxmlformats.org/drawingml/2006/main">
          <a:endParaRPr lang="sv-SE" sz="75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28575</xdr:colOff>
      <xdr:row>76</xdr:row>
      <xdr:rowOff>0</xdr:rowOff>
    </xdr:from>
    <xdr:to>
      <xdr:col>8</xdr:col>
      <xdr:colOff>93924</xdr:colOff>
      <xdr:row>77</xdr:row>
      <xdr:rowOff>106066</xdr:rowOff>
    </xdr:to>
    <xdr:pic>
      <xdr:nvPicPr>
        <xdr:cNvPr id="5" name="Bildobjekt 4">
          <a:extLst>
            <a:ext uri="{FF2B5EF4-FFF2-40B4-BE49-F238E27FC236}">
              <a16:creationId xmlns:a16="http://schemas.microsoft.com/office/drawing/2014/main" id="{864347BC-8FEB-43CD-9D26-371129A4114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85725" y="12725400"/>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88</xdr:row>
      <xdr:rowOff>9525</xdr:rowOff>
    </xdr:from>
    <xdr:to>
      <xdr:col>10</xdr:col>
      <xdr:colOff>151074</xdr:colOff>
      <xdr:row>89</xdr:row>
      <xdr:rowOff>115591</xdr:rowOff>
    </xdr:to>
    <xdr:pic>
      <xdr:nvPicPr>
        <xdr:cNvPr id="3" name="Bildobjekt 2">
          <a:extLst>
            <a:ext uri="{FF2B5EF4-FFF2-40B4-BE49-F238E27FC236}">
              <a16:creationId xmlns:a16="http://schemas.microsoft.com/office/drawing/2014/main" id="{0AB0ECDC-E926-40F1-91FA-15C21DC1C93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85725" y="1458277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69</xdr:row>
      <xdr:rowOff>0</xdr:rowOff>
    </xdr:from>
    <xdr:to>
      <xdr:col>3</xdr:col>
      <xdr:colOff>1722699</xdr:colOff>
      <xdr:row>70</xdr:row>
      <xdr:rowOff>106066</xdr:rowOff>
    </xdr:to>
    <xdr:pic>
      <xdr:nvPicPr>
        <xdr:cNvPr id="6" name="Bildobjekt 5">
          <a:extLst>
            <a:ext uri="{FF2B5EF4-FFF2-40B4-BE49-F238E27FC236}">
              <a16:creationId xmlns:a16="http://schemas.microsoft.com/office/drawing/2014/main" id="{8CAC4960-2481-410F-B97C-2EFDF87D0E46}"/>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85725" y="10610850"/>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76200</xdr:colOff>
      <xdr:row>95</xdr:row>
      <xdr:rowOff>47625</xdr:rowOff>
    </xdr:from>
    <xdr:to>
      <xdr:col>3</xdr:col>
      <xdr:colOff>1713174</xdr:colOff>
      <xdr:row>97</xdr:row>
      <xdr:rowOff>77491</xdr:rowOff>
    </xdr:to>
    <xdr:pic>
      <xdr:nvPicPr>
        <xdr:cNvPr id="9" name="Bildobjekt 8">
          <a:extLst>
            <a:ext uri="{FF2B5EF4-FFF2-40B4-BE49-F238E27FC236}">
              <a16:creationId xmlns:a16="http://schemas.microsoft.com/office/drawing/2014/main" id="{DC838805-AB8E-4FA5-A8B4-A3AF549C366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13954125"/>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45</xdr:row>
      <xdr:rowOff>0</xdr:rowOff>
    </xdr:from>
    <xdr:to>
      <xdr:col>3</xdr:col>
      <xdr:colOff>1694124</xdr:colOff>
      <xdr:row>46</xdr:row>
      <xdr:rowOff>106066</xdr:rowOff>
    </xdr:to>
    <xdr:pic>
      <xdr:nvPicPr>
        <xdr:cNvPr id="9" name="Bildobjekt 8">
          <a:extLst>
            <a:ext uri="{FF2B5EF4-FFF2-40B4-BE49-F238E27FC236}">
              <a16:creationId xmlns:a16="http://schemas.microsoft.com/office/drawing/2014/main" id="{EC5DD3D9-A7D7-4636-B44A-4D8AF13114C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57150" y="5657850"/>
          <a:ext cx="1960824" cy="2870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76200</xdr:colOff>
      <xdr:row>72</xdr:row>
      <xdr:rowOff>57150</xdr:rowOff>
    </xdr:from>
    <xdr:to>
      <xdr:col>3</xdr:col>
      <xdr:colOff>1713174</xdr:colOff>
      <xdr:row>73</xdr:row>
      <xdr:rowOff>163216</xdr:rowOff>
    </xdr:to>
    <xdr:pic>
      <xdr:nvPicPr>
        <xdr:cNvPr id="10" name="Bildobjekt 9">
          <a:extLst>
            <a:ext uri="{FF2B5EF4-FFF2-40B4-BE49-F238E27FC236}">
              <a16:creationId xmlns:a16="http://schemas.microsoft.com/office/drawing/2014/main" id="{DCACE143-3DA1-43A4-ACFC-5EC159F312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4040" r="4856" b="47475"/>
        <a:stretch/>
      </xdr:blipFill>
      <xdr:spPr bwMode="auto">
        <a:xfrm>
          <a:off x="76200" y="9867900"/>
          <a:ext cx="1960824" cy="287041"/>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redrik.lindberg@trafa.se" TargetMode="External"/><Relationship Id="rId1" Type="http://schemas.openxmlformats.org/officeDocument/2006/relationships/hyperlink" Target="mailto:abboud.ado@trafa.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omments" Target="../comments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21.bin"/><Relationship Id="rId4" Type="http://schemas.openxmlformats.org/officeDocument/2006/relationships/comments" Target="../comments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22.bin"/><Relationship Id="rId4" Type="http://schemas.openxmlformats.org/officeDocument/2006/relationships/comments" Target="../comments6.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23.bin"/><Relationship Id="rId4" Type="http://schemas.openxmlformats.org/officeDocument/2006/relationships/comments" Target="../comments7.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0.xml"/><Relationship Id="rId1" Type="http://schemas.openxmlformats.org/officeDocument/2006/relationships/printerSettings" Target="../printerSettings/printerSettings24.bin"/><Relationship Id="rId4" Type="http://schemas.openxmlformats.org/officeDocument/2006/relationships/comments" Target="../comments8.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2.xml"/><Relationship Id="rId1" Type="http://schemas.openxmlformats.org/officeDocument/2006/relationships/printerSettings" Target="../printerSettings/printerSettings26.bin"/><Relationship Id="rId4" Type="http://schemas.openxmlformats.org/officeDocument/2006/relationships/comments" Target="../comments9.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53.xml"/><Relationship Id="rId2" Type="http://schemas.openxmlformats.org/officeDocument/2006/relationships/printerSettings" Target="../printerSettings/printerSettings44.bin"/><Relationship Id="rId1" Type="http://schemas.openxmlformats.org/officeDocument/2006/relationships/hyperlink" Target="https://ec.europa.eu/eurostat/data/database" TargetMode="Externa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55.xml"/><Relationship Id="rId2" Type="http://schemas.openxmlformats.org/officeDocument/2006/relationships/printerSettings" Target="../printerSettings/printerSettings45.bin"/><Relationship Id="rId1" Type="http://schemas.openxmlformats.org/officeDocument/2006/relationships/hyperlink" Target="https://ec.europa.eu/eurostat/data/database" TargetMode="Externa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57.xml"/><Relationship Id="rId2" Type="http://schemas.openxmlformats.org/officeDocument/2006/relationships/printerSettings" Target="../printerSettings/printerSettings46.bin"/><Relationship Id="rId1" Type="http://schemas.openxmlformats.org/officeDocument/2006/relationships/hyperlink" Target="https://ec.europa.eu/eurostat/data/databas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7"/>
  <sheetViews>
    <sheetView tabSelected="1" workbookViewId="0">
      <selection sqref="A1:N1"/>
    </sheetView>
  </sheetViews>
  <sheetFormatPr defaultColWidth="9.109375" defaultRowHeight="10.199999999999999"/>
  <cols>
    <col min="1" max="21" width="7.44140625" style="265" customWidth="1"/>
    <col min="22" max="22" width="0.109375" style="265" customWidth="1"/>
    <col min="23" max="16384" width="9.109375" style="265"/>
  </cols>
  <sheetData>
    <row r="1" spans="1:22" ht="32.25" customHeight="1">
      <c r="A1" s="417" t="s">
        <v>1468</v>
      </c>
      <c r="B1" s="418"/>
      <c r="C1" s="418"/>
      <c r="D1" s="418"/>
      <c r="E1" s="418"/>
      <c r="F1" s="418"/>
      <c r="G1" s="418"/>
      <c r="H1" s="418"/>
      <c r="I1" s="418"/>
      <c r="J1" s="418"/>
      <c r="K1" s="418"/>
      <c r="L1" s="418"/>
      <c r="M1" s="418"/>
      <c r="N1" s="418"/>
      <c r="O1" s="294"/>
      <c r="P1" s="294"/>
      <c r="Q1" s="294"/>
      <c r="R1" s="294"/>
      <c r="S1" s="294"/>
      <c r="T1" s="294"/>
      <c r="U1" s="294"/>
      <c r="V1" s="294"/>
    </row>
    <row r="19" spans="2:3" ht="26.25" customHeight="1">
      <c r="B19" s="295" t="s">
        <v>1218</v>
      </c>
    </row>
    <row r="20" spans="2:3" ht="20.399999999999999">
      <c r="B20" s="296" t="s">
        <v>1219</v>
      </c>
    </row>
    <row r="21" spans="2:3" ht="17.399999999999999">
      <c r="B21" s="297"/>
    </row>
    <row r="22" spans="2:3" ht="14.25" customHeight="1">
      <c r="B22" s="320" t="s">
        <v>1236</v>
      </c>
    </row>
    <row r="23" spans="2:3" ht="14.25" customHeight="1">
      <c r="B23" s="298"/>
    </row>
    <row r="24" spans="2:3" ht="14.25" customHeight="1">
      <c r="B24" s="298"/>
    </row>
    <row r="25" spans="2:3" ht="16.5" customHeight="1">
      <c r="B25" s="297"/>
    </row>
    <row r="26" spans="2:3" ht="16.5" customHeight="1">
      <c r="B26" s="86" t="s">
        <v>1058</v>
      </c>
    </row>
    <row r="27" spans="2:3" ht="13.2">
      <c r="B27" s="152" t="s">
        <v>1473</v>
      </c>
      <c r="C27" s="299"/>
    </row>
    <row r="28" spans="2:3" ht="13.2">
      <c r="B28" s="313" t="s">
        <v>1474</v>
      </c>
      <c r="C28" s="299"/>
    </row>
    <row r="29" spans="2:3" ht="4.5" customHeight="1">
      <c r="B29" s="345"/>
    </row>
    <row r="30" spans="2:3" ht="13.2">
      <c r="B30" s="152" t="s">
        <v>869</v>
      </c>
    </row>
    <row r="31" spans="2:3" ht="13.2">
      <c r="B31" s="313" t="s">
        <v>870</v>
      </c>
    </row>
    <row r="32" spans="2:3" ht="14.4">
      <c r="B32" s="237"/>
    </row>
    <row r="33" spans="2:19" ht="13.2">
      <c r="B33" s="86"/>
    </row>
    <row r="34" spans="2:19" ht="13.2">
      <c r="B34" s="346"/>
    </row>
    <row r="35" spans="2:19" ht="13.2">
      <c r="B35" s="313"/>
    </row>
    <row r="36" spans="2:19" ht="13.2">
      <c r="B36" s="86"/>
    </row>
    <row r="37" spans="2:19" ht="14.4">
      <c r="B37" s="237"/>
    </row>
    <row r="38" spans="2:19" ht="14.4">
      <c r="B38" s="237"/>
    </row>
    <row r="39" spans="2:19" ht="13.2">
      <c r="B39" s="202"/>
    </row>
    <row r="40" spans="2:19" ht="13.2">
      <c r="B40" s="202"/>
    </row>
    <row r="41" spans="2:19" ht="13.2">
      <c r="B41" s="202"/>
    </row>
    <row r="42" spans="2:19" ht="13.2">
      <c r="B42" s="202"/>
    </row>
    <row r="43" spans="2:19" ht="13.2">
      <c r="B43" s="300"/>
    </row>
    <row r="47" spans="2:19" ht="6" customHeight="1"/>
    <row r="48" spans="2:19">
      <c r="B48" s="301"/>
      <c r="C48" s="301"/>
      <c r="D48" s="301"/>
      <c r="E48" s="301"/>
      <c r="F48" s="301"/>
      <c r="G48" s="301"/>
      <c r="H48" s="301"/>
      <c r="I48" s="301"/>
      <c r="J48" s="301"/>
      <c r="K48" s="301"/>
      <c r="L48" s="301"/>
      <c r="M48" s="301"/>
      <c r="N48" s="301"/>
      <c r="O48" s="301"/>
      <c r="P48" s="301"/>
      <c r="Q48" s="301"/>
      <c r="R48" s="301"/>
      <c r="S48" s="301"/>
    </row>
    <row r="49" spans="2:19">
      <c r="B49" s="301"/>
      <c r="C49" s="301"/>
      <c r="D49" s="301"/>
      <c r="E49" s="301"/>
      <c r="F49" s="301"/>
      <c r="G49" s="301"/>
      <c r="H49" s="301"/>
      <c r="I49" s="301"/>
      <c r="J49" s="301"/>
      <c r="K49" s="301"/>
      <c r="L49" s="301"/>
      <c r="M49" s="301"/>
      <c r="N49" s="301"/>
      <c r="O49" s="301"/>
      <c r="P49" s="301"/>
      <c r="Q49" s="301"/>
      <c r="R49" s="301"/>
      <c r="S49" s="301"/>
    </row>
    <row r="50" spans="2:19">
      <c r="B50" s="301"/>
      <c r="C50" s="301"/>
      <c r="D50" s="301"/>
      <c r="E50" s="301"/>
      <c r="F50" s="301"/>
      <c r="G50" s="301"/>
      <c r="H50" s="301"/>
      <c r="I50" s="301"/>
      <c r="J50" s="301"/>
      <c r="K50" s="301"/>
      <c r="L50" s="301"/>
      <c r="M50" s="301"/>
      <c r="N50" s="301"/>
      <c r="O50" s="301"/>
      <c r="P50" s="301"/>
      <c r="Q50" s="301"/>
      <c r="R50" s="301"/>
      <c r="S50" s="301"/>
    </row>
    <row r="51" spans="2:19">
      <c r="B51" s="301"/>
      <c r="C51" s="301"/>
      <c r="D51" s="301"/>
      <c r="E51" s="301"/>
      <c r="F51" s="301"/>
      <c r="G51" s="301"/>
      <c r="H51" s="301"/>
      <c r="I51" s="301"/>
      <c r="J51" s="301"/>
      <c r="K51" s="301"/>
      <c r="L51" s="301"/>
      <c r="M51" s="301"/>
      <c r="N51" s="301"/>
      <c r="O51" s="301"/>
      <c r="P51" s="301"/>
      <c r="Q51" s="301"/>
      <c r="R51" s="301"/>
      <c r="S51" s="301"/>
    </row>
    <row r="52" spans="2:19">
      <c r="B52" s="301"/>
      <c r="C52" s="301"/>
      <c r="D52" s="301"/>
      <c r="E52" s="301"/>
      <c r="F52" s="301"/>
      <c r="G52" s="301"/>
      <c r="H52" s="301"/>
      <c r="I52" s="301"/>
      <c r="J52" s="301"/>
      <c r="K52" s="301"/>
      <c r="L52" s="301"/>
      <c r="M52" s="301"/>
      <c r="N52" s="301"/>
      <c r="O52" s="301"/>
      <c r="P52" s="301"/>
      <c r="Q52" s="301"/>
      <c r="R52" s="301"/>
      <c r="S52" s="301"/>
    </row>
    <row r="53" spans="2:19">
      <c r="B53" s="301"/>
      <c r="C53" s="301"/>
      <c r="D53" s="301"/>
      <c r="E53" s="301"/>
      <c r="F53" s="301"/>
      <c r="G53" s="301"/>
      <c r="H53" s="301"/>
      <c r="I53" s="301"/>
      <c r="J53" s="301"/>
      <c r="K53" s="301"/>
      <c r="L53" s="301"/>
      <c r="M53" s="301"/>
      <c r="N53" s="301"/>
      <c r="O53" s="301"/>
      <c r="P53" s="301"/>
      <c r="Q53" s="301"/>
      <c r="R53" s="301"/>
      <c r="S53" s="301"/>
    </row>
    <row r="54" spans="2:19">
      <c r="B54" s="301"/>
      <c r="C54" s="301"/>
      <c r="D54" s="301"/>
      <c r="E54" s="301"/>
      <c r="F54" s="301"/>
      <c r="G54" s="301"/>
      <c r="H54" s="301"/>
      <c r="I54" s="301"/>
      <c r="J54" s="301"/>
      <c r="K54" s="301"/>
      <c r="L54" s="301"/>
      <c r="M54" s="301"/>
      <c r="N54" s="301"/>
      <c r="O54" s="301"/>
      <c r="P54" s="301"/>
      <c r="Q54" s="301"/>
      <c r="R54" s="301"/>
      <c r="S54" s="301"/>
    </row>
    <row r="55" spans="2:19">
      <c r="B55" s="301"/>
      <c r="C55" s="301"/>
      <c r="D55" s="301"/>
      <c r="E55" s="301"/>
      <c r="F55" s="301"/>
      <c r="G55" s="301"/>
      <c r="H55" s="301"/>
      <c r="I55" s="301"/>
      <c r="J55" s="301"/>
      <c r="K55" s="301"/>
      <c r="L55" s="301"/>
      <c r="M55" s="301"/>
      <c r="N55" s="301"/>
      <c r="O55" s="301"/>
      <c r="P55" s="301"/>
      <c r="Q55" s="301"/>
      <c r="R55" s="301"/>
      <c r="S55" s="301"/>
    </row>
    <row r="56" spans="2:19">
      <c r="B56" s="301"/>
      <c r="C56" s="301"/>
      <c r="D56" s="301"/>
      <c r="E56" s="301"/>
      <c r="F56" s="301"/>
      <c r="G56" s="301"/>
      <c r="H56" s="301"/>
      <c r="I56" s="301"/>
      <c r="J56" s="301"/>
      <c r="K56" s="301"/>
      <c r="L56" s="301"/>
      <c r="M56" s="301"/>
      <c r="N56" s="301"/>
      <c r="O56" s="301"/>
      <c r="P56" s="301"/>
      <c r="Q56" s="301"/>
      <c r="R56" s="301"/>
      <c r="S56" s="301"/>
    </row>
    <row r="57" spans="2:19" ht="6" customHeight="1">
      <c r="B57" s="301"/>
      <c r="C57" s="301"/>
      <c r="D57" s="301"/>
      <c r="E57" s="301"/>
      <c r="F57" s="301"/>
      <c r="G57" s="301"/>
      <c r="H57" s="301"/>
      <c r="I57" s="301"/>
      <c r="J57" s="301"/>
      <c r="K57" s="301"/>
      <c r="L57" s="301"/>
      <c r="M57" s="301"/>
      <c r="N57" s="301"/>
      <c r="O57" s="301"/>
      <c r="P57" s="301"/>
      <c r="Q57" s="301"/>
      <c r="R57" s="301"/>
      <c r="S57" s="301"/>
    </row>
  </sheetData>
  <mergeCells count="1">
    <mergeCell ref="A1:N1"/>
  </mergeCells>
  <hyperlinks>
    <hyperlink ref="B28" r:id="rId1" xr:uid="{00000000-0004-0000-0000-000000000000}"/>
    <hyperlink ref="B31" r:id="rId2" xr:uid="{00000000-0004-0000-0000-000001000000}"/>
  </hyperlinks>
  <pageMargins left="0.70866141732283472" right="0.70866141732283472" top="0.74803149606299213" bottom="0.74803149606299213" header="0.31496062992125984" footer="0.31496062992125984"/>
  <pageSetup paperSize="9" scale="8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F76"/>
  <sheetViews>
    <sheetView zoomScaleNormal="100" workbookViewId="0"/>
  </sheetViews>
  <sheetFormatPr defaultColWidth="9.109375" defaultRowHeight="13.8"/>
  <cols>
    <col min="1" max="1" width="0.88671875" style="11" customWidth="1"/>
    <col min="2" max="2" width="1.6640625" style="11" customWidth="1"/>
    <col min="3" max="3" width="5.6640625" style="11" customWidth="1"/>
    <col min="4" max="4" width="1.5546875" style="11" customWidth="1"/>
    <col min="5" max="5" width="7.109375" style="11" customWidth="1"/>
    <col min="6" max="7" width="1.5546875" style="11" customWidth="1"/>
    <col min="8" max="8" width="9.109375" style="11"/>
    <col min="9" max="10" width="1.5546875" style="11" customWidth="1"/>
    <col min="11" max="11" width="7" style="11" customWidth="1"/>
    <col min="12" max="13" width="1.33203125" style="11" customWidth="1"/>
    <col min="14" max="14" width="9.109375" style="11"/>
    <col min="15" max="15" width="1.5546875" style="11" customWidth="1"/>
    <col min="16" max="16" width="1.33203125" style="11" customWidth="1"/>
    <col min="17" max="17" width="8.33203125" style="11" customWidth="1"/>
    <col min="18" max="19" width="1.6640625" style="11" customWidth="1"/>
    <col min="20" max="20" width="9.109375" style="11"/>
    <col min="21" max="22" width="1.33203125" style="11" customWidth="1"/>
    <col min="23" max="23" width="9.109375" style="11"/>
    <col min="24" max="25" width="1.33203125" style="11" customWidth="1"/>
    <col min="26" max="26" width="9.109375" style="11"/>
    <col min="27" max="28" width="1.44140625" style="11" customWidth="1"/>
    <col min="29" max="29" width="9.44140625" style="11" customWidth="1"/>
    <col min="30" max="30" width="1.44140625" style="11" customWidth="1"/>
    <col min="31" max="16384" width="9.109375" style="11"/>
  </cols>
  <sheetData>
    <row r="1" spans="2:30">
      <c r="B1" s="10" t="s">
        <v>1197</v>
      </c>
    </row>
    <row r="2" spans="2:30">
      <c r="B2" s="156" t="s">
        <v>1196</v>
      </c>
    </row>
    <row r="3" spans="2:30" ht="6" customHeight="1">
      <c r="B3" s="13"/>
      <c r="C3" s="13"/>
      <c r="D3" s="62"/>
      <c r="E3" s="13"/>
      <c r="F3" s="13"/>
      <c r="G3" s="13"/>
      <c r="H3" s="13"/>
      <c r="I3" s="13"/>
      <c r="J3" s="13"/>
      <c r="K3" s="13"/>
      <c r="L3" s="13"/>
      <c r="M3" s="13"/>
      <c r="N3" s="13"/>
      <c r="O3" s="13"/>
      <c r="P3" s="13"/>
      <c r="Q3" s="13"/>
      <c r="R3" s="13"/>
      <c r="S3" s="13"/>
      <c r="T3" s="13"/>
      <c r="U3" s="13"/>
      <c r="V3" s="13"/>
      <c r="W3" s="13"/>
      <c r="X3" s="13"/>
      <c r="Y3" s="13"/>
      <c r="Z3" s="13"/>
      <c r="AA3" s="13"/>
      <c r="AB3" s="13"/>
      <c r="AC3" s="13"/>
      <c r="AD3" s="13"/>
    </row>
    <row r="4" spans="2:30" ht="14.25" customHeight="1">
      <c r="C4" s="497" t="s">
        <v>64</v>
      </c>
      <c r="D4" s="10"/>
      <c r="E4" s="514" t="s">
        <v>142</v>
      </c>
      <c r="F4" s="504"/>
      <c r="G4" s="504"/>
      <c r="H4" s="504"/>
      <c r="I4" s="504"/>
      <c r="J4" s="504"/>
      <c r="K4" s="504"/>
      <c r="L4" s="504"/>
      <c r="M4" s="504"/>
      <c r="N4" s="504"/>
      <c r="O4" s="504"/>
      <c r="P4" s="504"/>
      <c r="Q4" s="504"/>
      <c r="R4" s="504"/>
      <c r="S4" s="2"/>
      <c r="T4" s="504" t="s">
        <v>143</v>
      </c>
      <c r="U4" s="504"/>
      <c r="V4" s="504"/>
      <c r="W4" s="504"/>
      <c r="X4" s="504"/>
      <c r="Y4" s="504"/>
      <c r="Z4" s="504"/>
      <c r="AA4" s="504"/>
      <c r="AB4" s="504"/>
      <c r="AC4" s="504"/>
      <c r="AD4" s="504"/>
    </row>
    <row r="5" spans="2:30" ht="24.75" customHeight="1">
      <c r="C5" s="497"/>
      <c r="D5" s="191"/>
      <c r="E5" s="492" t="s">
        <v>144</v>
      </c>
      <c r="F5" s="504"/>
      <c r="G5" s="504"/>
      <c r="H5" s="504"/>
      <c r="I5" s="504"/>
      <c r="J5" s="93"/>
      <c r="K5" s="493" t="s">
        <v>145</v>
      </c>
      <c r="L5" s="493"/>
      <c r="M5" s="493"/>
      <c r="N5" s="493"/>
      <c r="O5" s="493"/>
      <c r="P5" s="493"/>
      <c r="Q5" s="493"/>
      <c r="R5" s="493"/>
      <c r="S5" s="116"/>
      <c r="T5" s="516" t="s">
        <v>146</v>
      </c>
      <c r="U5" s="516"/>
      <c r="V5" s="116"/>
      <c r="W5" s="516" t="s">
        <v>147</v>
      </c>
      <c r="X5" s="516"/>
      <c r="Y5" s="116"/>
      <c r="Z5" s="493" t="s">
        <v>148</v>
      </c>
      <c r="AA5" s="493"/>
      <c r="AB5" s="493"/>
      <c r="AC5" s="493"/>
      <c r="AD5" s="493"/>
    </row>
    <row r="6" spans="2:30" ht="33.75" customHeight="1">
      <c r="C6" s="497"/>
      <c r="D6" s="191"/>
      <c r="E6" s="492" t="s">
        <v>149</v>
      </c>
      <c r="F6" s="504"/>
      <c r="G6" s="93"/>
      <c r="H6" s="492" t="s">
        <v>150</v>
      </c>
      <c r="I6" s="492"/>
      <c r="J6" s="116"/>
      <c r="K6" s="492" t="s">
        <v>149</v>
      </c>
      <c r="L6" s="492"/>
      <c r="M6" s="116"/>
      <c r="N6" s="492" t="s">
        <v>151</v>
      </c>
      <c r="O6" s="492"/>
      <c r="P6" s="116"/>
      <c r="Q6" s="492" t="s">
        <v>152</v>
      </c>
      <c r="R6" s="492"/>
      <c r="S6" s="116"/>
      <c r="T6" s="492"/>
      <c r="U6" s="492"/>
      <c r="V6" s="116"/>
      <c r="W6" s="492"/>
      <c r="X6" s="492"/>
      <c r="Y6" s="116"/>
      <c r="Z6" s="492" t="s">
        <v>153</v>
      </c>
      <c r="AA6" s="492"/>
      <c r="AB6" s="116"/>
      <c r="AC6" s="492" t="s">
        <v>154</v>
      </c>
      <c r="AD6" s="492"/>
    </row>
    <row r="7" spans="2:30" ht="36.75" customHeight="1">
      <c r="C7" s="497"/>
      <c r="D7" s="191"/>
      <c r="E7" s="492" t="s">
        <v>115</v>
      </c>
      <c r="F7" s="514"/>
      <c r="G7" s="481"/>
      <c r="H7" s="481"/>
      <c r="I7" s="481"/>
      <c r="J7" s="481"/>
      <c r="K7" s="481"/>
      <c r="L7" s="481"/>
      <c r="M7" s="481"/>
      <c r="N7" s="481"/>
      <c r="O7" s="481"/>
      <c r="P7" s="93"/>
      <c r="Q7" s="493" t="s">
        <v>155</v>
      </c>
      <c r="R7" s="493"/>
      <c r="S7" s="116"/>
      <c r="T7" s="493" t="s">
        <v>156</v>
      </c>
      <c r="U7" s="493"/>
      <c r="V7" s="116"/>
      <c r="W7" s="493" t="s">
        <v>157</v>
      </c>
      <c r="X7" s="493"/>
      <c r="Y7" s="116"/>
      <c r="Z7" s="493" t="s">
        <v>158</v>
      </c>
      <c r="AA7" s="493"/>
      <c r="AB7" s="116"/>
      <c r="AC7" s="493" t="s">
        <v>159</v>
      </c>
      <c r="AD7" s="493"/>
    </row>
    <row r="8" spans="2:30" ht="4.5" customHeight="1">
      <c r="C8" s="42"/>
      <c r="D8" s="116"/>
      <c r="E8" s="93"/>
      <c r="F8" s="93"/>
      <c r="G8" s="93"/>
      <c r="H8" s="93"/>
      <c r="I8" s="93"/>
      <c r="J8" s="93"/>
      <c r="K8" s="93"/>
      <c r="L8" s="93"/>
      <c r="M8" s="93"/>
      <c r="N8" s="93"/>
      <c r="O8" s="93"/>
      <c r="P8" s="93"/>
      <c r="Q8" s="116"/>
      <c r="R8" s="116"/>
      <c r="S8" s="116"/>
      <c r="T8" s="116"/>
      <c r="U8" s="116"/>
      <c r="V8" s="116"/>
      <c r="W8" s="116"/>
      <c r="X8" s="116"/>
      <c r="Y8" s="116"/>
      <c r="Z8" s="116"/>
      <c r="AA8" s="116"/>
      <c r="AB8" s="116"/>
      <c r="AC8" s="116"/>
      <c r="AD8" s="116"/>
    </row>
    <row r="9" spans="2:30" ht="10.5" customHeight="1">
      <c r="C9" s="116">
        <v>1</v>
      </c>
      <c r="D9" s="516">
        <v>20</v>
      </c>
      <c r="E9" s="460"/>
      <c r="F9" s="460"/>
      <c r="G9" s="93"/>
      <c r="H9" s="516">
        <v>21</v>
      </c>
      <c r="I9" s="516"/>
      <c r="J9" s="116"/>
      <c r="K9" s="516">
        <v>22</v>
      </c>
      <c r="L9" s="516"/>
      <c r="M9" s="116"/>
      <c r="N9" s="516">
        <v>23</v>
      </c>
      <c r="O9" s="516"/>
      <c r="P9" s="116"/>
      <c r="Q9" s="516">
        <v>24</v>
      </c>
      <c r="R9" s="516"/>
      <c r="S9" s="116"/>
      <c r="T9" s="516">
        <v>25</v>
      </c>
      <c r="U9" s="516"/>
      <c r="V9" s="116"/>
      <c r="W9" s="516">
        <v>26</v>
      </c>
      <c r="X9" s="516"/>
      <c r="Y9" s="116"/>
      <c r="Z9" s="516">
        <v>27</v>
      </c>
      <c r="AA9" s="516"/>
      <c r="AB9" s="116"/>
      <c r="AC9" s="516">
        <v>28</v>
      </c>
      <c r="AD9" s="516"/>
    </row>
    <row r="10" spans="2:30" ht="4.5" customHeight="1">
      <c r="B10" s="13"/>
      <c r="C10" s="117"/>
      <c r="D10" s="4"/>
      <c r="E10" s="117"/>
      <c r="F10" s="118"/>
      <c r="G10" s="118"/>
      <c r="H10" s="117"/>
      <c r="I10" s="118"/>
      <c r="J10" s="118"/>
      <c r="K10" s="117"/>
      <c r="L10" s="118"/>
      <c r="M10" s="118"/>
      <c r="N10" s="117"/>
      <c r="O10" s="118"/>
      <c r="P10" s="118"/>
      <c r="Q10" s="117"/>
      <c r="R10" s="118"/>
      <c r="S10" s="118"/>
      <c r="T10" s="117"/>
      <c r="U10" s="118"/>
      <c r="V10" s="118"/>
      <c r="W10" s="117"/>
      <c r="X10" s="118"/>
      <c r="Y10" s="118"/>
      <c r="Z10" s="117"/>
      <c r="AA10" s="118"/>
      <c r="AB10" s="118"/>
      <c r="AC10" s="117"/>
      <c r="AD10" s="118"/>
    </row>
    <row r="11" spans="2:30" ht="10.5" customHeight="1">
      <c r="C11" s="16">
        <v>1856</v>
      </c>
      <c r="D11" s="2"/>
      <c r="E11" s="75" t="s">
        <v>78</v>
      </c>
      <c r="F11" s="120"/>
      <c r="G11" s="120"/>
      <c r="H11" s="75" t="s">
        <v>78</v>
      </c>
      <c r="I11" s="120"/>
      <c r="J11" s="120"/>
      <c r="K11" s="75" t="s">
        <v>78</v>
      </c>
      <c r="L11" s="120"/>
      <c r="M11" s="120"/>
      <c r="N11" s="75" t="s">
        <v>78</v>
      </c>
      <c r="O11" s="120"/>
      <c r="P11" s="120"/>
      <c r="Q11" s="75" t="s">
        <v>78</v>
      </c>
      <c r="R11" s="120"/>
      <c r="S11" s="120"/>
      <c r="T11" s="75" t="s">
        <v>78</v>
      </c>
      <c r="U11" s="120"/>
      <c r="V11" s="120"/>
      <c r="W11" s="75" t="s">
        <v>78</v>
      </c>
      <c r="X11" s="120"/>
      <c r="Y11" s="120"/>
      <c r="Z11" s="75" t="s">
        <v>78</v>
      </c>
      <c r="AA11" s="120"/>
      <c r="AB11" s="120"/>
      <c r="AC11" s="17" t="s">
        <v>78</v>
      </c>
      <c r="AD11" s="23"/>
    </row>
    <row r="12" spans="2:30" ht="10.5" customHeight="1">
      <c r="C12" s="16">
        <v>1860</v>
      </c>
      <c r="D12" s="2"/>
      <c r="E12" s="75" t="s">
        <v>78</v>
      </c>
      <c r="F12" s="120"/>
      <c r="G12" s="120"/>
      <c r="H12" s="75" t="s">
        <v>78</v>
      </c>
      <c r="I12" s="23"/>
      <c r="J12" s="23"/>
      <c r="K12" s="75" t="s">
        <v>78</v>
      </c>
      <c r="L12" s="120"/>
      <c r="M12" s="120"/>
      <c r="N12" s="75" t="s">
        <v>78</v>
      </c>
      <c r="O12" s="120"/>
      <c r="P12" s="120"/>
      <c r="Q12" s="75" t="s">
        <v>78</v>
      </c>
      <c r="R12" s="120"/>
      <c r="S12" s="120"/>
      <c r="T12" s="75" t="s">
        <v>78</v>
      </c>
      <c r="U12" s="23"/>
      <c r="V12" s="23"/>
      <c r="W12" s="75" t="s">
        <v>78</v>
      </c>
      <c r="X12" s="120"/>
      <c r="Y12" s="120"/>
      <c r="Z12" s="75" t="s">
        <v>78</v>
      </c>
      <c r="AA12" s="23"/>
      <c r="AB12" s="23"/>
      <c r="AC12" s="17" t="s">
        <v>78</v>
      </c>
      <c r="AD12" s="23"/>
    </row>
    <row r="13" spans="2:30" ht="10.5" customHeight="1">
      <c r="C13" s="16">
        <v>1870</v>
      </c>
      <c r="D13" s="2"/>
      <c r="E13" s="28">
        <v>508</v>
      </c>
      <c r="F13" s="23"/>
      <c r="G13" s="23"/>
      <c r="H13" s="75" t="s">
        <v>78</v>
      </c>
      <c r="I13" s="23"/>
      <c r="J13" s="23"/>
      <c r="K13" s="28">
        <v>4225</v>
      </c>
      <c r="L13" s="120"/>
      <c r="M13" s="120"/>
      <c r="N13" s="75" t="s">
        <v>78</v>
      </c>
      <c r="O13" s="120"/>
      <c r="P13" s="120"/>
      <c r="Q13" s="28">
        <v>30</v>
      </c>
      <c r="R13" s="120"/>
      <c r="S13" s="120"/>
      <c r="T13" s="28">
        <v>4.3</v>
      </c>
      <c r="U13" s="23"/>
      <c r="V13" s="23"/>
      <c r="W13" s="28">
        <v>121</v>
      </c>
      <c r="X13" s="120"/>
      <c r="Y13" s="120"/>
      <c r="Z13" s="75" t="s">
        <v>78</v>
      </c>
      <c r="AA13" s="23"/>
      <c r="AB13" s="23"/>
      <c r="AC13" s="17" t="s">
        <v>78</v>
      </c>
      <c r="AD13" s="23"/>
    </row>
    <row r="14" spans="2:30" ht="10.5" customHeight="1">
      <c r="C14" s="16">
        <v>1880</v>
      </c>
      <c r="D14" s="2"/>
      <c r="E14" s="28">
        <v>1462</v>
      </c>
      <c r="F14" s="23"/>
      <c r="G14" s="23"/>
      <c r="H14" s="75" t="s">
        <v>78</v>
      </c>
      <c r="I14" s="23"/>
      <c r="J14" s="23"/>
      <c r="K14" s="28">
        <v>15122</v>
      </c>
      <c r="L14" s="120"/>
      <c r="M14" s="120"/>
      <c r="N14" s="75" t="s">
        <v>78</v>
      </c>
      <c r="O14" s="120"/>
      <c r="P14" s="120"/>
      <c r="Q14" s="28">
        <v>128</v>
      </c>
      <c r="R14" s="120"/>
      <c r="S14" s="120"/>
      <c r="T14" s="28">
        <v>12.5</v>
      </c>
      <c r="U14" s="23"/>
      <c r="V14" s="23"/>
      <c r="W14" s="28">
        <v>357</v>
      </c>
      <c r="X14" s="120"/>
      <c r="Y14" s="120"/>
      <c r="Z14" s="75" t="s">
        <v>78</v>
      </c>
      <c r="AA14" s="23"/>
      <c r="AB14" s="23"/>
      <c r="AC14" s="17" t="s">
        <v>78</v>
      </c>
      <c r="AD14" s="23"/>
    </row>
    <row r="15" spans="2:30" ht="10.5" customHeight="1">
      <c r="C15" s="16">
        <v>1890</v>
      </c>
      <c r="D15" s="2"/>
      <c r="E15" s="28">
        <v>1971</v>
      </c>
      <c r="F15" s="23"/>
      <c r="G15" s="23"/>
      <c r="H15" s="75" t="s">
        <v>78</v>
      </c>
      <c r="I15" s="23"/>
      <c r="J15" s="23"/>
      <c r="K15" s="28">
        <v>20889</v>
      </c>
      <c r="L15" s="120"/>
      <c r="M15" s="120"/>
      <c r="N15" s="75" t="s">
        <v>78</v>
      </c>
      <c r="O15" s="120"/>
      <c r="P15" s="120"/>
      <c r="Q15" s="28">
        <v>185</v>
      </c>
      <c r="R15" s="120"/>
      <c r="S15" s="120"/>
      <c r="T15" s="28">
        <v>19.5</v>
      </c>
      <c r="U15" s="23"/>
      <c r="V15" s="23"/>
      <c r="W15" s="28">
        <v>567</v>
      </c>
      <c r="X15" s="120"/>
      <c r="Y15" s="120"/>
      <c r="Z15" s="75" t="s">
        <v>78</v>
      </c>
      <c r="AA15" s="23"/>
      <c r="AB15" s="23"/>
      <c r="AC15" s="17" t="s">
        <v>78</v>
      </c>
      <c r="AD15" s="23"/>
    </row>
    <row r="16" spans="2:30" ht="6.6" customHeight="1">
      <c r="C16" s="16"/>
      <c r="D16" s="2"/>
      <c r="E16" s="28"/>
      <c r="F16" s="23"/>
      <c r="G16" s="23"/>
      <c r="H16" s="75"/>
      <c r="I16" s="23"/>
      <c r="J16" s="23"/>
      <c r="K16" s="28"/>
      <c r="L16" s="120"/>
      <c r="M16" s="120"/>
      <c r="N16" s="75"/>
      <c r="O16" s="120"/>
      <c r="P16" s="120"/>
      <c r="Q16" s="28"/>
      <c r="R16" s="120"/>
      <c r="S16" s="120"/>
      <c r="T16" s="28"/>
      <c r="U16" s="23"/>
      <c r="V16" s="23"/>
      <c r="W16" s="28"/>
      <c r="X16" s="120"/>
      <c r="Y16" s="120"/>
      <c r="Z16" s="75"/>
      <c r="AA16" s="23"/>
      <c r="AB16" s="23"/>
      <c r="AC16" s="17"/>
      <c r="AD16" s="23"/>
    </row>
    <row r="17" spans="3:30" ht="10.5" customHeight="1">
      <c r="C17" s="16">
        <v>1900</v>
      </c>
      <c r="D17" s="2"/>
      <c r="E17" s="28">
        <v>2594</v>
      </c>
      <c r="F17" s="23"/>
      <c r="G17" s="23"/>
      <c r="H17" s="75" t="s">
        <v>78</v>
      </c>
      <c r="I17" s="23"/>
      <c r="J17" s="23"/>
      <c r="K17" s="28">
        <v>33413</v>
      </c>
      <c r="L17" s="120"/>
      <c r="M17" s="120"/>
      <c r="N17" s="75" t="s">
        <v>78</v>
      </c>
      <c r="O17" s="120"/>
      <c r="P17" s="120"/>
      <c r="Q17" s="28">
        <v>356</v>
      </c>
      <c r="R17" s="120"/>
      <c r="S17" s="120"/>
      <c r="T17" s="28">
        <v>36.799999999999997</v>
      </c>
      <c r="U17" s="23"/>
      <c r="V17" s="23"/>
      <c r="W17" s="28">
        <v>1134</v>
      </c>
      <c r="X17" s="120"/>
      <c r="Y17" s="120"/>
      <c r="Z17" s="75" t="s">
        <v>78</v>
      </c>
      <c r="AA17" s="23"/>
      <c r="AB17" s="23"/>
      <c r="AC17" s="17" t="s">
        <v>78</v>
      </c>
      <c r="AD17" s="23"/>
    </row>
    <row r="18" spans="3:30" ht="10.5" customHeight="1">
      <c r="C18" s="16">
        <v>1910</v>
      </c>
      <c r="D18" s="2"/>
      <c r="E18" s="28">
        <v>3600</v>
      </c>
      <c r="F18" s="23"/>
      <c r="G18" s="23"/>
      <c r="H18" s="28">
        <v>143780</v>
      </c>
      <c r="I18" s="23"/>
      <c r="J18" s="23"/>
      <c r="K18" s="28">
        <v>45245</v>
      </c>
      <c r="L18" s="120"/>
      <c r="M18" s="120"/>
      <c r="N18" s="75" t="s">
        <v>78</v>
      </c>
      <c r="O18" s="120"/>
      <c r="P18" s="120"/>
      <c r="Q18" s="28">
        <v>583</v>
      </c>
      <c r="R18" s="120"/>
      <c r="S18" s="120"/>
      <c r="T18" s="28">
        <v>52.4</v>
      </c>
      <c r="U18" s="23"/>
      <c r="V18" s="23"/>
      <c r="W18" s="28">
        <v>1591</v>
      </c>
      <c r="X18" s="120"/>
      <c r="Y18" s="120"/>
      <c r="Z18" s="75" t="s">
        <v>78</v>
      </c>
      <c r="AA18" s="23"/>
      <c r="AB18" s="23"/>
      <c r="AC18" s="17" t="s">
        <v>78</v>
      </c>
      <c r="AD18" s="23"/>
    </row>
    <row r="19" spans="3:30" ht="10.5" customHeight="1">
      <c r="C19" s="16">
        <v>1920</v>
      </c>
      <c r="D19" s="2"/>
      <c r="E19" s="28">
        <v>4151</v>
      </c>
      <c r="F19" s="23"/>
      <c r="G19" s="23"/>
      <c r="H19" s="28">
        <v>186737</v>
      </c>
      <c r="I19" s="23"/>
      <c r="J19" s="23"/>
      <c r="K19" s="28">
        <v>57242</v>
      </c>
      <c r="L19" s="120"/>
      <c r="M19" s="120"/>
      <c r="N19" s="75" t="s">
        <v>78</v>
      </c>
      <c r="O19" s="120"/>
      <c r="P19" s="120"/>
      <c r="Q19" s="28">
        <v>832</v>
      </c>
      <c r="R19" s="120"/>
      <c r="S19" s="120"/>
      <c r="T19" s="28">
        <v>54.4</v>
      </c>
      <c r="U19" s="23"/>
      <c r="V19" s="23"/>
      <c r="W19" s="28">
        <v>1674</v>
      </c>
      <c r="X19" s="120"/>
      <c r="Y19" s="120"/>
      <c r="Z19" s="28">
        <v>6850</v>
      </c>
      <c r="AA19" s="23"/>
      <c r="AB19" s="23"/>
      <c r="AC19" s="121">
        <v>35</v>
      </c>
      <c r="AD19" s="23"/>
    </row>
    <row r="20" spans="3:30" ht="10.5" customHeight="1">
      <c r="C20" s="16">
        <v>1930</v>
      </c>
      <c r="D20" s="2"/>
      <c r="E20" s="28">
        <v>4301</v>
      </c>
      <c r="F20" s="23"/>
      <c r="G20" s="23"/>
      <c r="H20" s="28">
        <v>190938</v>
      </c>
      <c r="I20" s="23"/>
      <c r="J20" s="23"/>
      <c r="K20" s="28">
        <v>55140</v>
      </c>
      <c r="L20" s="120"/>
      <c r="M20" s="120"/>
      <c r="N20" s="75" t="s">
        <v>78</v>
      </c>
      <c r="O20" s="120"/>
      <c r="P20" s="120"/>
      <c r="Q20" s="28">
        <v>876</v>
      </c>
      <c r="R20" s="120"/>
      <c r="S20" s="120"/>
      <c r="T20" s="28">
        <v>72.5</v>
      </c>
      <c r="U20" s="23"/>
      <c r="V20" s="23"/>
      <c r="W20" s="28">
        <v>1978</v>
      </c>
      <c r="X20" s="120"/>
      <c r="Y20" s="120"/>
      <c r="Z20" s="28">
        <v>9085</v>
      </c>
      <c r="AA20" s="23"/>
      <c r="AB20" s="23"/>
      <c r="AC20" s="16">
        <v>26.8</v>
      </c>
      <c r="AD20" s="23"/>
    </row>
    <row r="21" spans="3:30" ht="10.5" customHeight="1">
      <c r="C21" s="16">
        <v>1940</v>
      </c>
      <c r="D21" s="2"/>
      <c r="E21" s="28">
        <v>5278</v>
      </c>
      <c r="F21" s="23"/>
      <c r="G21" s="23"/>
      <c r="H21" s="28">
        <v>205377</v>
      </c>
      <c r="I21" s="23"/>
      <c r="J21" s="23"/>
      <c r="K21" s="28">
        <v>49057</v>
      </c>
      <c r="L21" s="120"/>
      <c r="M21" s="120"/>
      <c r="N21" s="75" t="s">
        <v>78</v>
      </c>
      <c r="O21" s="120"/>
      <c r="P21" s="120"/>
      <c r="Q21" s="28">
        <v>893</v>
      </c>
      <c r="R21" s="120"/>
      <c r="S21" s="120"/>
      <c r="T21" s="28">
        <v>91.9</v>
      </c>
      <c r="U21" s="23"/>
      <c r="V21" s="23"/>
      <c r="W21" s="28">
        <v>2847</v>
      </c>
      <c r="X21" s="120"/>
      <c r="Y21" s="120"/>
      <c r="Z21" s="28">
        <v>12676</v>
      </c>
      <c r="AA21" s="23"/>
      <c r="AB21" s="23"/>
      <c r="AC21" s="16">
        <v>35.9</v>
      </c>
      <c r="AD21" s="23"/>
    </row>
    <row r="22" spans="3:30" ht="6.6" customHeight="1">
      <c r="C22" s="16"/>
      <c r="D22" s="2"/>
      <c r="E22" s="28"/>
      <c r="F22" s="23"/>
      <c r="G22" s="23"/>
      <c r="H22" s="28"/>
      <c r="I22" s="23"/>
      <c r="J22" s="23"/>
      <c r="K22" s="28"/>
      <c r="L22" s="120"/>
      <c r="M22" s="120"/>
      <c r="N22" s="28"/>
      <c r="O22" s="120"/>
      <c r="P22" s="120"/>
      <c r="Q22" s="28"/>
      <c r="R22" s="120"/>
      <c r="S22" s="120"/>
      <c r="T22" s="28"/>
      <c r="U22" s="23"/>
      <c r="V22" s="23"/>
      <c r="W22" s="28"/>
      <c r="X22" s="120"/>
      <c r="Y22" s="120"/>
      <c r="Z22" s="28"/>
      <c r="AA22" s="23"/>
      <c r="AB22" s="23"/>
      <c r="AC22" s="16"/>
      <c r="AD22" s="23"/>
    </row>
    <row r="23" spans="3:30" ht="10.5" customHeight="1">
      <c r="C23" s="16">
        <v>1950</v>
      </c>
      <c r="D23" s="2"/>
      <c r="E23" s="28">
        <v>5944</v>
      </c>
      <c r="F23" s="23"/>
      <c r="G23" s="23"/>
      <c r="H23" s="28">
        <v>251658</v>
      </c>
      <c r="I23" s="23"/>
      <c r="J23" s="23"/>
      <c r="K23" s="28">
        <v>53861</v>
      </c>
      <c r="L23" s="120"/>
      <c r="M23" s="120"/>
      <c r="N23" s="28">
        <v>2203</v>
      </c>
      <c r="O23" s="120"/>
      <c r="P23" s="120"/>
      <c r="Q23" s="28">
        <v>944</v>
      </c>
      <c r="R23" s="120"/>
      <c r="S23" s="120"/>
      <c r="T23" s="28">
        <v>132.5</v>
      </c>
      <c r="U23" s="23"/>
      <c r="V23" s="23"/>
      <c r="W23" s="28">
        <v>3773</v>
      </c>
      <c r="X23" s="120"/>
      <c r="Y23" s="120"/>
      <c r="Z23" s="28">
        <v>21206</v>
      </c>
      <c r="AA23" s="23"/>
      <c r="AB23" s="23"/>
      <c r="AC23" s="16">
        <v>31.3</v>
      </c>
      <c r="AD23" s="23"/>
    </row>
    <row r="24" spans="3:30" ht="10.5" customHeight="1">
      <c r="C24" s="16">
        <v>1960</v>
      </c>
      <c r="D24" s="2"/>
      <c r="E24" s="28">
        <v>5044</v>
      </c>
      <c r="F24" s="23"/>
      <c r="G24" s="23"/>
      <c r="H24" s="28">
        <v>214420</v>
      </c>
      <c r="I24" s="23"/>
      <c r="J24" s="23"/>
      <c r="K24" s="28">
        <v>58377</v>
      </c>
      <c r="L24" s="120"/>
      <c r="M24" s="120"/>
      <c r="N24" s="28">
        <v>4353</v>
      </c>
      <c r="O24" s="120"/>
      <c r="P24" s="120"/>
      <c r="Q24" s="28">
        <v>1249</v>
      </c>
      <c r="R24" s="120"/>
      <c r="S24" s="120"/>
      <c r="T24" s="28">
        <v>126.1</v>
      </c>
      <c r="U24" s="23"/>
      <c r="V24" s="23"/>
      <c r="W24" s="28">
        <v>4063</v>
      </c>
      <c r="X24" s="120"/>
      <c r="Y24" s="120"/>
      <c r="Z24" s="28">
        <v>18564</v>
      </c>
      <c r="AA24" s="23"/>
      <c r="AB24" s="23"/>
      <c r="AC24" s="16">
        <v>27.7</v>
      </c>
      <c r="AD24" s="23"/>
    </row>
    <row r="25" spans="3:30" ht="10.5" customHeight="1">
      <c r="C25" s="16">
        <v>1970</v>
      </c>
      <c r="D25" s="2"/>
      <c r="E25" s="28">
        <v>3069</v>
      </c>
      <c r="F25" s="23"/>
      <c r="G25" s="23"/>
      <c r="H25" s="28">
        <v>143943</v>
      </c>
      <c r="I25" s="23"/>
      <c r="J25" s="23"/>
      <c r="K25" s="28">
        <v>56242</v>
      </c>
      <c r="L25" s="120"/>
      <c r="M25" s="120"/>
      <c r="N25" s="28">
        <v>5061</v>
      </c>
      <c r="O25" s="120"/>
      <c r="P25" s="120"/>
      <c r="Q25" s="28">
        <v>1431</v>
      </c>
      <c r="R25" s="120"/>
      <c r="S25" s="120"/>
      <c r="T25" s="28">
        <v>111.2</v>
      </c>
      <c r="U25" s="23"/>
      <c r="V25" s="23"/>
      <c r="W25" s="28">
        <v>4415</v>
      </c>
      <c r="X25" s="120"/>
      <c r="Y25" s="120"/>
      <c r="Z25" s="28">
        <v>14959</v>
      </c>
      <c r="AA25" s="23"/>
      <c r="AB25" s="23"/>
      <c r="AC25" s="121">
        <v>31</v>
      </c>
      <c r="AD25" s="23"/>
    </row>
    <row r="26" spans="3:30" ht="10.5" customHeight="1">
      <c r="C26" s="16">
        <v>1980</v>
      </c>
      <c r="D26" s="2"/>
      <c r="E26" s="28">
        <v>2437</v>
      </c>
      <c r="F26" s="23"/>
      <c r="G26" s="23"/>
      <c r="H26" s="28">
        <v>119092</v>
      </c>
      <c r="I26" s="23"/>
      <c r="J26" s="23"/>
      <c r="K26" s="28">
        <v>48044</v>
      </c>
      <c r="L26" s="120"/>
      <c r="M26" s="120"/>
      <c r="N26" s="28">
        <v>2390</v>
      </c>
      <c r="O26" s="120"/>
      <c r="P26" s="120"/>
      <c r="Q26" s="28">
        <v>1384</v>
      </c>
      <c r="R26" s="120"/>
      <c r="S26" s="120"/>
      <c r="T26" s="28">
        <v>104.3</v>
      </c>
      <c r="U26" s="23"/>
      <c r="V26" s="23"/>
      <c r="W26" s="28">
        <v>4160</v>
      </c>
      <c r="X26" s="120"/>
      <c r="Y26" s="120"/>
      <c r="Z26" s="28">
        <v>17450</v>
      </c>
      <c r="AA26" s="23"/>
      <c r="AB26" s="23"/>
      <c r="AC26" s="16">
        <v>40.1</v>
      </c>
      <c r="AD26" s="23"/>
    </row>
    <row r="27" spans="3:30" ht="10.5" customHeight="1">
      <c r="C27" s="16">
        <v>1990</v>
      </c>
      <c r="D27" s="2"/>
      <c r="E27" s="28">
        <v>2038</v>
      </c>
      <c r="F27" s="23"/>
      <c r="G27" s="23"/>
      <c r="H27" s="28">
        <v>112709</v>
      </c>
      <c r="I27" s="23"/>
      <c r="J27" s="23"/>
      <c r="K27" s="28">
        <v>26501</v>
      </c>
      <c r="L27" s="120"/>
      <c r="M27" s="120"/>
      <c r="N27" s="28">
        <v>2241</v>
      </c>
      <c r="O27" s="120"/>
      <c r="P27" s="120"/>
      <c r="Q27" s="28">
        <v>923</v>
      </c>
      <c r="R27" s="120"/>
      <c r="S27" s="120"/>
      <c r="T27" s="28">
        <v>102.819</v>
      </c>
      <c r="U27" s="23"/>
      <c r="V27" s="23"/>
      <c r="W27" s="28">
        <v>4060</v>
      </c>
      <c r="X27" s="120"/>
      <c r="Y27" s="120"/>
      <c r="Z27" s="28">
        <v>17156.5</v>
      </c>
      <c r="AA27" s="23"/>
      <c r="AB27" s="23"/>
      <c r="AC27" s="121">
        <v>38.469384781278229</v>
      </c>
      <c r="AD27" s="23"/>
    </row>
    <row r="28" spans="3:30" s="87" customFormat="1" ht="17.25" customHeight="1">
      <c r="C28" s="162">
        <v>1991</v>
      </c>
      <c r="D28" s="152"/>
      <c r="E28" s="159">
        <v>2046</v>
      </c>
      <c r="F28" s="166"/>
      <c r="G28" s="166"/>
      <c r="H28" s="159">
        <v>112966</v>
      </c>
      <c r="I28" s="166"/>
      <c r="J28" s="166"/>
      <c r="K28" s="159">
        <v>25126</v>
      </c>
      <c r="L28" s="167"/>
      <c r="M28" s="167"/>
      <c r="N28" s="159">
        <v>3608</v>
      </c>
      <c r="O28" s="167"/>
      <c r="P28" s="167"/>
      <c r="Q28" s="159">
        <v>837</v>
      </c>
      <c r="R28" s="167"/>
      <c r="S28" s="167"/>
      <c r="T28" s="159">
        <v>100.84650000000001</v>
      </c>
      <c r="U28" s="166"/>
      <c r="V28" s="166"/>
      <c r="W28" s="159">
        <v>4208</v>
      </c>
      <c r="X28" s="167"/>
      <c r="Y28" s="167"/>
      <c r="Z28" s="159">
        <v>16871</v>
      </c>
      <c r="AA28" s="166"/>
      <c r="AB28" s="166"/>
      <c r="AC28" s="168">
        <v>35.474838480232343</v>
      </c>
      <c r="AD28" s="166"/>
    </row>
    <row r="29" spans="3:30" ht="10.5" customHeight="1">
      <c r="C29" s="16">
        <v>1992</v>
      </c>
      <c r="D29" s="2"/>
      <c r="E29" s="28">
        <v>1939</v>
      </c>
      <c r="F29" s="23"/>
      <c r="G29" s="23"/>
      <c r="H29" s="28">
        <v>111889</v>
      </c>
      <c r="I29" s="23"/>
      <c r="J29" s="23"/>
      <c r="K29" s="28">
        <v>23099</v>
      </c>
      <c r="L29" s="120"/>
      <c r="M29" s="120"/>
      <c r="N29" s="28">
        <v>5501</v>
      </c>
      <c r="O29" s="120"/>
      <c r="P29" s="120"/>
      <c r="Q29" s="28">
        <v>835</v>
      </c>
      <c r="R29" s="120"/>
      <c r="S29" s="120"/>
      <c r="T29" s="28">
        <v>99.224000000000004</v>
      </c>
      <c r="U29" s="23"/>
      <c r="V29" s="23"/>
      <c r="W29" s="28">
        <v>4117</v>
      </c>
      <c r="X29" s="120"/>
      <c r="Y29" s="120"/>
      <c r="Z29" s="28">
        <v>16969</v>
      </c>
      <c r="AA29" s="23"/>
      <c r="AB29" s="23"/>
      <c r="AC29" s="121">
        <v>35.138782485709235</v>
      </c>
      <c r="AD29" s="23"/>
    </row>
    <row r="30" spans="3:30" ht="10.5" customHeight="1">
      <c r="C30" s="16">
        <v>1993</v>
      </c>
      <c r="D30" s="2"/>
      <c r="E30" s="28">
        <v>1978</v>
      </c>
      <c r="F30" s="23"/>
      <c r="G30" s="23"/>
      <c r="H30" s="28">
        <v>113890</v>
      </c>
      <c r="I30" s="23"/>
      <c r="J30" s="23"/>
      <c r="K30" s="28">
        <v>21817</v>
      </c>
      <c r="L30" s="120"/>
      <c r="M30" s="120"/>
      <c r="N30" s="28">
        <v>5115</v>
      </c>
      <c r="O30" s="120"/>
      <c r="P30" s="120"/>
      <c r="Q30" s="28">
        <v>798</v>
      </c>
      <c r="R30" s="120"/>
      <c r="S30" s="120"/>
      <c r="T30" s="28">
        <v>99.539000000000001</v>
      </c>
      <c r="U30" s="23"/>
      <c r="V30" s="23"/>
      <c r="W30" s="28">
        <v>4079</v>
      </c>
      <c r="X30" s="120"/>
      <c r="Y30" s="120"/>
      <c r="Z30" s="28">
        <v>16371.856</v>
      </c>
      <c r="AA30" s="23"/>
      <c r="AB30" s="23"/>
      <c r="AC30" s="121">
        <v>39.225070138657472</v>
      </c>
      <c r="AD30" s="23"/>
    </row>
    <row r="31" spans="3:30" ht="10.5" customHeight="1">
      <c r="C31" s="16">
        <v>1994</v>
      </c>
      <c r="D31" s="2"/>
      <c r="E31" s="28">
        <v>2018</v>
      </c>
      <c r="F31" s="23"/>
      <c r="G31" s="23"/>
      <c r="H31" s="28">
        <v>112720</v>
      </c>
      <c r="I31" s="23"/>
      <c r="J31" s="23"/>
      <c r="K31" s="28">
        <v>21066</v>
      </c>
      <c r="L31" s="120"/>
      <c r="M31" s="120"/>
      <c r="N31" s="28">
        <v>5069</v>
      </c>
      <c r="O31" s="120"/>
      <c r="P31" s="120"/>
      <c r="Q31" s="28">
        <v>780</v>
      </c>
      <c r="R31" s="120"/>
      <c r="S31" s="120"/>
      <c r="T31" s="28">
        <v>100.9551</v>
      </c>
      <c r="U31" s="23"/>
      <c r="V31" s="23"/>
      <c r="W31" s="28">
        <v>4191</v>
      </c>
      <c r="X31" s="120"/>
      <c r="Y31" s="120"/>
      <c r="Z31" s="28">
        <v>17227.356</v>
      </c>
      <c r="AA31" s="23"/>
      <c r="AB31" s="23"/>
      <c r="AC31" s="121">
        <v>37.772220531113419</v>
      </c>
      <c r="AD31" s="23"/>
    </row>
    <row r="32" spans="3:30" ht="10.5" customHeight="1">
      <c r="C32" s="16">
        <v>1995</v>
      </c>
      <c r="D32" s="2"/>
      <c r="E32" s="28">
        <v>1966</v>
      </c>
      <c r="F32" s="23"/>
      <c r="G32" s="23"/>
      <c r="H32" s="28">
        <v>111495</v>
      </c>
      <c r="I32" s="23"/>
      <c r="J32" s="23"/>
      <c r="K32" s="28">
        <v>20865</v>
      </c>
      <c r="L32" s="120"/>
      <c r="M32" s="120"/>
      <c r="N32" s="28">
        <v>5330</v>
      </c>
      <c r="O32" s="120"/>
      <c r="P32" s="120"/>
      <c r="Q32" s="28">
        <v>782</v>
      </c>
      <c r="R32" s="120"/>
      <c r="S32" s="120"/>
      <c r="T32" s="28">
        <v>104.577252</v>
      </c>
      <c r="U32" s="23"/>
      <c r="V32" s="23"/>
      <c r="W32" s="28">
        <v>4146</v>
      </c>
      <c r="X32" s="120"/>
      <c r="Y32" s="120"/>
      <c r="Z32" s="28">
        <v>17425.629866666666</v>
      </c>
      <c r="AA32" s="23"/>
      <c r="AB32" s="23"/>
      <c r="AC32" s="121">
        <v>39.211047803042973</v>
      </c>
      <c r="AD32" s="23"/>
    </row>
    <row r="33" spans="3:30" s="87" customFormat="1" ht="17.25" customHeight="1">
      <c r="C33" s="162">
        <v>1996</v>
      </c>
      <c r="D33" s="152"/>
      <c r="E33" s="159">
        <v>1902</v>
      </c>
      <c r="F33" s="166"/>
      <c r="G33" s="166"/>
      <c r="H33" s="159">
        <v>108313</v>
      </c>
      <c r="I33" s="166"/>
      <c r="J33" s="166"/>
      <c r="K33" s="159">
        <v>20302</v>
      </c>
      <c r="L33" s="167"/>
      <c r="M33" s="167"/>
      <c r="N33" s="159">
        <v>5572</v>
      </c>
      <c r="O33" s="167"/>
      <c r="P33" s="167"/>
      <c r="Q33" s="159">
        <v>773</v>
      </c>
      <c r="R33" s="167"/>
      <c r="S33" s="167"/>
      <c r="T33" s="159">
        <v>105.59106</v>
      </c>
      <c r="U33" s="166"/>
      <c r="V33" s="166"/>
      <c r="W33" s="159">
        <v>4060</v>
      </c>
      <c r="X33" s="167"/>
      <c r="Y33" s="167"/>
      <c r="Z33" s="159">
        <v>18422.576972800001</v>
      </c>
      <c r="AA33" s="166"/>
      <c r="AB33" s="166"/>
      <c r="AC33" s="168">
        <v>37.743701449945284</v>
      </c>
      <c r="AD33" s="166"/>
    </row>
    <row r="34" spans="3:30" ht="10.5" customHeight="1">
      <c r="C34" s="16">
        <v>1997</v>
      </c>
      <c r="D34" s="2"/>
      <c r="E34" s="28">
        <v>1899</v>
      </c>
      <c r="F34" s="23"/>
      <c r="G34" s="23"/>
      <c r="H34" s="28">
        <v>109301</v>
      </c>
      <c r="I34" s="23"/>
      <c r="J34" s="23"/>
      <c r="K34" s="28">
        <v>19635</v>
      </c>
      <c r="L34" s="120"/>
      <c r="M34" s="120"/>
      <c r="N34" s="28">
        <v>5967</v>
      </c>
      <c r="O34" s="120"/>
      <c r="P34" s="120"/>
      <c r="Q34" s="28">
        <v>751</v>
      </c>
      <c r="R34" s="120"/>
      <c r="S34" s="120"/>
      <c r="T34" s="28">
        <v>105.782652</v>
      </c>
      <c r="U34" s="23"/>
      <c r="V34" s="23"/>
      <c r="W34" s="28">
        <v>4067</v>
      </c>
      <c r="X34" s="120"/>
      <c r="Y34" s="120"/>
      <c r="Z34" s="28">
        <v>18300.329581472728</v>
      </c>
      <c r="AA34" s="23"/>
      <c r="AB34" s="23"/>
      <c r="AC34" s="121">
        <v>38.369852306424498</v>
      </c>
      <c r="AD34" s="23"/>
    </row>
    <row r="35" spans="3:30" ht="10.5" customHeight="1">
      <c r="C35" s="16">
        <v>1998</v>
      </c>
      <c r="D35" s="2"/>
      <c r="E35" s="28">
        <v>1887</v>
      </c>
      <c r="F35" s="23"/>
      <c r="G35" s="23"/>
      <c r="H35" s="28">
        <v>108817</v>
      </c>
      <c r="I35" s="23"/>
      <c r="J35" s="23"/>
      <c r="K35" s="28">
        <v>18943</v>
      </c>
      <c r="L35" s="120"/>
      <c r="M35" s="120"/>
      <c r="N35" s="28">
        <v>5713</v>
      </c>
      <c r="O35" s="120"/>
      <c r="P35" s="120"/>
      <c r="Q35" s="28">
        <v>729</v>
      </c>
      <c r="R35" s="120"/>
      <c r="S35" s="120"/>
      <c r="T35" s="28">
        <v>106.525896</v>
      </c>
      <c r="U35" s="23"/>
      <c r="V35" s="23"/>
      <c r="W35" s="28">
        <v>4111</v>
      </c>
      <c r="X35" s="120"/>
      <c r="Y35" s="120"/>
      <c r="Z35" s="28">
        <v>17802</v>
      </c>
      <c r="AA35" s="23"/>
      <c r="AB35" s="23"/>
      <c r="AC35" s="121">
        <v>40.50387582350298</v>
      </c>
      <c r="AD35" s="23"/>
    </row>
    <row r="36" spans="3:30" ht="10.5" customHeight="1">
      <c r="C36" s="16">
        <v>1999</v>
      </c>
      <c r="D36" s="2"/>
      <c r="E36" s="28">
        <v>1850</v>
      </c>
      <c r="F36" s="23"/>
      <c r="G36" s="23"/>
      <c r="H36" s="28">
        <v>107131</v>
      </c>
      <c r="I36" s="23"/>
      <c r="J36" s="23"/>
      <c r="K36" s="28">
        <v>19757</v>
      </c>
      <c r="L36" s="120"/>
      <c r="M36" s="120"/>
      <c r="N36" s="28">
        <v>6809</v>
      </c>
      <c r="O36" s="120"/>
      <c r="P36" s="120"/>
      <c r="Q36" s="28">
        <v>777</v>
      </c>
      <c r="R36" s="120"/>
      <c r="S36" s="120"/>
      <c r="T36" s="28">
        <v>109.43639</v>
      </c>
      <c r="U36" s="23"/>
      <c r="V36" s="23"/>
      <c r="W36" s="28">
        <v>4131</v>
      </c>
      <c r="X36" s="120"/>
      <c r="Y36" s="120"/>
      <c r="Z36" s="28">
        <v>18641.66</v>
      </c>
      <c r="AA36" s="23"/>
      <c r="AB36" s="23"/>
      <c r="AC36" s="121">
        <v>41.310126528431482</v>
      </c>
      <c r="AD36" s="23"/>
    </row>
    <row r="37" spans="3:30" ht="10.5" customHeight="1">
      <c r="C37" s="16">
        <v>2000</v>
      </c>
      <c r="D37" s="2"/>
      <c r="E37" s="28">
        <v>1789</v>
      </c>
      <c r="F37" s="23"/>
      <c r="G37" s="23"/>
      <c r="H37" s="28">
        <v>111124</v>
      </c>
      <c r="I37" s="23"/>
      <c r="J37" s="23"/>
      <c r="K37" s="28">
        <v>18406</v>
      </c>
      <c r="L37" s="122"/>
      <c r="M37" s="122"/>
      <c r="N37" s="28">
        <v>6405</v>
      </c>
      <c r="O37" s="122"/>
      <c r="P37" s="122"/>
      <c r="Q37" s="28">
        <v>741</v>
      </c>
      <c r="R37" s="122"/>
      <c r="S37" s="122"/>
      <c r="T37" s="28">
        <v>116.20369599999999</v>
      </c>
      <c r="U37" s="23"/>
      <c r="V37" s="23"/>
      <c r="W37" s="75" t="s">
        <v>78</v>
      </c>
      <c r="X37" s="120"/>
      <c r="Y37" s="120"/>
      <c r="Z37" s="28">
        <v>20540.894099999998</v>
      </c>
      <c r="AA37" s="23"/>
      <c r="AB37" s="23"/>
      <c r="AC37" s="121">
        <v>40.130650885347784</v>
      </c>
      <c r="AD37" s="23"/>
    </row>
    <row r="38" spans="3:30" s="87" customFormat="1" ht="17.25" customHeight="1">
      <c r="C38" s="162">
        <v>2001</v>
      </c>
      <c r="D38" s="152"/>
      <c r="E38" s="159">
        <v>1888</v>
      </c>
      <c r="F38" s="166"/>
      <c r="G38" s="166"/>
      <c r="H38" s="159">
        <v>118287</v>
      </c>
      <c r="I38" s="166"/>
      <c r="J38" s="166"/>
      <c r="K38" s="159">
        <v>17910</v>
      </c>
      <c r="L38" s="170"/>
      <c r="M38" s="170"/>
      <c r="N38" s="159">
        <v>6215</v>
      </c>
      <c r="O38" s="170"/>
      <c r="P38" s="170"/>
      <c r="Q38" s="159">
        <v>740</v>
      </c>
      <c r="R38" s="167"/>
      <c r="S38" s="167"/>
      <c r="T38" s="159">
        <v>122.68</v>
      </c>
      <c r="U38" s="166"/>
      <c r="V38" s="166"/>
      <c r="W38" s="161" t="s">
        <v>78</v>
      </c>
      <c r="X38" s="167"/>
      <c r="Y38" s="167"/>
      <c r="Z38" s="159">
        <v>21759.9941</v>
      </c>
      <c r="AA38" s="166"/>
      <c r="AB38" s="166"/>
      <c r="AC38" s="168">
        <v>40.127582111798461</v>
      </c>
      <c r="AD38" s="166"/>
    </row>
    <row r="39" spans="3:30" ht="10.5" customHeight="1">
      <c r="C39" s="16">
        <v>2002</v>
      </c>
      <c r="D39" s="2"/>
      <c r="E39" s="28">
        <v>1935</v>
      </c>
      <c r="F39" s="23"/>
      <c r="G39" s="23"/>
      <c r="H39" s="28">
        <v>122932</v>
      </c>
      <c r="I39" s="23"/>
      <c r="J39" s="23"/>
      <c r="K39" s="28">
        <v>17674</v>
      </c>
      <c r="L39" s="120"/>
      <c r="M39" s="120"/>
      <c r="N39" s="28">
        <v>6489</v>
      </c>
      <c r="O39" s="120"/>
      <c r="P39" s="120"/>
      <c r="Q39" s="28">
        <v>734</v>
      </c>
      <c r="R39" s="120"/>
      <c r="S39" s="120"/>
      <c r="T39" s="28">
        <v>124.73992</v>
      </c>
      <c r="U39" s="23"/>
      <c r="V39" s="23"/>
      <c r="W39" s="75" t="s">
        <v>78</v>
      </c>
      <c r="X39" s="120"/>
      <c r="Y39" s="120"/>
      <c r="Z39" s="28">
        <v>22779.200000000001</v>
      </c>
      <c r="AA39" s="23"/>
      <c r="AB39" s="23"/>
      <c r="AC39" s="121">
        <v>38.957469972606589</v>
      </c>
      <c r="AD39" s="23"/>
    </row>
    <row r="40" spans="3:30" ht="10.5" customHeight="1">
      <c r="C40" s="16">
        <v>2003</v>
      </c>
      <c r="D40" s="2"/>
      <c r="E40" s="28">
        <v>1877</v>
      </c>
      <c r="F40" s="23"/>
      <c r="G40" s="23"/>
      <c r="H40" s="28">
        <v>121598</v>
      </c>
      <c r="I40" s="23"/>
      <c r="J40" s="23"/>
      <c r="K40" s="28">
        <v>16909</v>
      </c>
      <c r="L40" s="120"/>
      <c r="M40" s="120"/>
      <c r="N40" s="28">
        <v>6405</v>
      </c>
      <c r="O40" s="120"/>
      <c r="P40" s="120"/>
      <c r="Q40" s="28">
        <v>720</v>
      </c>
      <c r="R40" s="120"/>
      <c r="S40" s="120"/>
      <c r="T40" s="28">
        <v>127.30957784313723</v>
      </c>
      <c r="U40" s="23"/>
      <c r="V40" s="23"/>
      <c r="W40" s="75" t="s">
        <v>78</v>
      </c>
      <c r="X40" s="120"/>
      <c r="Y40" s="120"/>
      <c r="Z40" s="28">
        <v>23224.554901960786</v>
      </c>
      <c r="AA40" s="23"/>
      <c r="AB40" s="23"/>
      <c r="AC40" s="121">
        <v>38.035587776051877</v>
      </c>
      <c r="AD40" s="23"/>
    </row>
    <row r="41" spans="3:30" ht="10.5" customHeight="1">
      <c r="C41" s="16">
        <v>2004</v>
      </c>
      <c r="D41" s="2"/>
      <c r="E41" s="28">
        <v>1784</v>
      </c>
      <c r="F41" s="23"/>
      <c r="G41" s="23"/>
      <c r="H41" s="28">
        <v>116047</v>
      </c>
      <c r="I41" s="23"/>
      <c r="J41" s="23"/>
      <c r="K41" s="28">
        <v>16832</v>
      </c>
      <c r="L41" s="120"/>
      <c r="M41" s="120"/>
      <c r="N41" s="28">
        <v>6271</v>
      </c>
      <c r="O41" s="120"/>
      <c r="P41" s="120"/>
      <c r="Q41" s="28">
        <v>799</v>
      </c>
      <c r="R41" s="122"/>
      <c r="S41" s="122"/>
      <c r="T41" s="28">
        <v>127.70170766666666</v>
      </c>
      <c r="U41" s="23"/>
      <c r="V41" s="23"/>
      <c r="W41" s="75" t="s">
        <v>78</v>
      </c>
      <c r="X41" s="120"/>
      <c r="Y41" s="120"/>
      <c r="Z41" s="28">
        <v>22998.749048000005</v>
      </c>
      <c r="AA41" s="23"/>
      <c r="AB41" s="23"/>
      <c r="AC41" s="121">
        <v>37.644765611420624</v>
      </c>
      <c r="AD41" s="23"/>
    </row>
    <row r="42" spans="3:30" ht="10.5" customHeight="1">
      <c r="C42" s="16">
        <v>2005</v>
      </c>
      <c r="D42" s="2"/>
      <c r="E42" s="28">
        <v>1901</v>
      </c>
      <c r="F42" s="23"/>
      <c r="G42" s="23"/>
      <c r="H42" s="28">
        <v>123696</v>
      </c>
      <c r="I42" s="23"/>
      <c r="J42" s="23"/>
      <c r="K42" s="28">
        <v>16637</v>
      </c>
      <c r="L42" s="120"/>
      <c r="M42" s="120"/>
      <c r="N42" s="28">
        <v>6476</v>
      </c>
      <c r="O42" s="120"/>
      <c r="P42" s="120"/>
      <c r="Q42" s="28">
        <v>772</v>
      </c>
      <c r="R42" s="120"/>
      <c r="S42" s="120"/>
      <c r="T42" s="28">
        <v>127.68292836666666</v>
      </c>
      <c r="U42" s="23"/>
      <c r="V42" s="23"/>
      <c r="W42" s="75" t="s">
        <v>78</v>
      </c>
      <c r="X42" s="120"/>
      <c r="Y42" s="120"/>
      <c r="Z42" s="28">
        <v>22448.2</v>
      </c>
      <c r="AA42" s="23"/>
      <c r="AB42" s="23"/>
      <c r="AC42" s="121">
        <v>39.807458949938074</v>
      </c>
      <c r="AD42" s="23"/>
    </row>
    <row r="43" spans="3:30" s="87" customFormat="1" ht="17.25" customHeight="1">
      <c r="C43" s="162">
        <v>2006</v>
      </c>
      <c r="D43" s="152"/>
      <c r="E43" s="159">
        <v>1952</v>
      </c>
      <c r="F43" s="166"/>
      <c r="G43" s="166"/>
      <c r="H43" s="159">
        <v>125750</v>
      </c>
      <c r="I43" s="166"/>
      <c r="J43" s="166"/>
      <c r="K43" s="159">
        <v>16407</v>
      </c>
      <c r="L43" s="169"/>
      <c r="M43" s="169"/>
      <c r="N43" s="159">
        <v>6294</v>
      </c>
      <c r="O43" s="169"/>
      <c r="P43" s="169"/>
      <c r="Q43" s="159">
        <v>798</v>
      </c>
      <c r="R43" s="169"/>
      <c r="S43" s="169"/>
      <c r="T43" s="159">
        <v>131.45111479999997</v>
      </c>
      <c r="U43" s="166"/>
      <c r="V43" s="166"/>
      <c r="W43" s="161" t="s">
        <v>78</v>
      </c>
      <c r="X43" s="167"/>
      <c r="Y43" s="167"/>
      <c r="Z43" s="159">
        <v>23604.420300008998</v>
      </c>
      <c r="AA43" s="166"/>
      <c r="AB43" s="166"/>
      <c r="AC43" s="168">
        <v>40.741698727778378</v>
      </c>
      <c r="AD43" s="166"/>
    </row>
    <row r="44" spans="3:30" ht="10.5" customHeight="1">
      <c r="C44" s="16">
        <v>2007</v>
      </c>
      <c r="D44" s="2"/>
      <c r="E44" s="28">
        <v>2177</v>
      </c>
      <c r="F44" s="23"/>
      <c r="G44" s="23"/>
      <c r="H44" s="28">
        <v>134461</v>
      </c>
      <c r="I44" s="23"/>
      <c r="J44" s="23"/>
      <c r="K44" s="28">
        <v>15896</v>
      </c>
      <c r="L44" s="119"/>
      <c r="M44" s="119"/>
      <c r="N44" s="28">
        <v>6361</v>
      </c>
      <c r="O44" s="119"/>
      <c r="P44" s="119"/>
      <c r="Q44" s="28">
        <v>815</v>
      </c>
      <c r="R44" s="119"/>
      <c r="S44" s="119"/>
      <c r="T44" s="28">
        <v>135.90429366666666</v>
      </c>
      <c r="U44" s="23"/>
      <c r="V44" s="23"/>
      <c r="W44" s="75" t="s">
        <v>78</v>
      </c>
      <c r="X44" s="120"/>
      <c r="Y44" s="120"/>
      <c r="Z44" s="28">
        <v>24956.940159999998</v>
      </c>
      <c r="AA44" s="23"/>
      <c r="AB44" s="23"/>
      <c r="AC44" s="121">
        <v>41.112976727993249</v>
      </c>
      <c r="AD44" s="23"/>
    </row>
    <row r="45" spans="3:30" ht="10.5" customHeight="1">
      <c r="C45" s="16">
        <v>2008</v>
      </c>
      <c r="D45" s="2"/>
      <c r="E45" s="28">
        <v>2304</v>
      </c>
      <c r="F45" s="23"/>
      <c r="G45" s="23"/>
      <c r="H45" s="28">
        <v>142834</v>
      </c>
      <c r="I45" s="23"/>
      <c r="J45" s="23"/>
      <c r="K45" s="28">
        <v>15735</v>
      </c>
      <c r="L45" s="120"/>
      <c r="M45" s="120"/>
      <c r="N45" s="28">
        <v>6253</v>
      </c>
      <c r="O45" s="120"/>
      <c r="P45" s="120"/>
      <c r="Q45" s="28">
        <v>832</v>
      </c>
      <c r="R45" s="120"/>
      <c r="S45" s="120"/>
      <c r="T45" s="28">
        <v>142.46821087000001</v>
      </c>
      <c r="U45" s="23"/>
      <c r="V45" s="23"/>
      <c r="W45" s="75" t="s">
        <v>78</v>
      </c>
      <c r="X45" s="120"/>
      <c r="Y45" s="120"/>
      <c r="Z45" s="28">
        <v>26586.804999999997</v>
      </c>
      <c r="AA45" s="23"/>
      <c r="AB45" s="23"/>
      <c r="AC45" s="121">
        <v>41.923882918613209</v>
      </c>
      <c r="AD45" s="23"/>
    </row>
    <row r="46" spans="3:30" ht="10.5" customHeight="1">
      <c r="C46" s="16">
        <v>2009</v>
      </c>
      <c r="D46" s="2"/>
      <c r="E46" s="28">
        <v>2291</v>
      </c>
      <c r="F46" s="23"/>
      <c r="G46" s="23"/>
      <c r="H46" s="28">
        <v>141068</v>
      </c>
      <c r="I46" s="23"/>
      <c r="J46" s="23"/>
      <c r="K46" s="28">
        <v>14797</v>
      </c>
      <c r="L46" s="120"/>
      <c r="M46" s="120"/>
      <c r="N46" s="28">
        <v>6453</v>
      </c>
      <c r="O46" s="120"/>
      <c r="P46" s="120"/>
      <c r="Q46" s="28">
        <v>791</v>
      </c>
      <c r="R46" s="120"/>
      <c r="S46" s="120"/>
      <c r="T46" s="28">
        <v>135.812375</v>
      </c>
      <c r="U46" s="23"/>
      <c r="V46" s="23"/>
      <c r="W46" s="75" t="s">
        <v>78</v>
      </c>
      <c r="X46" s="120"/>
      <c r="Y46" s="120"/>
      <c r="Z46" s="28">
        <v>27331.091999999997</v>
      </c>
      <c r="AA46" s="23"/>
      <c r="AB46" s="23"/>
      <c r="AC46" s="121">
        <v>41.422909439549649</v>
      </c>
      <c r="AD46" s="23"/>
    </row>
    <row r="47" spans="3:30" ht="10.5" customHeight="1">
      <c r="C47" s="16">
        <v>2010</v>
      </c>
      <c r="D47" s="2"/>
      <c r="E47" s="28">
        <v>2374</v>
      </c>
      <c r="F47" s="23"/>
      <c r="G47" s="23"/>
      <c r="H47" s="28">
        <v>145356</v>
      </c>
      <c r="I47" s="23"/>
      <c r="J47" s="23"/>
      <c r="K47" s="28">
        <v>15166</v>
      </c>
      <c r="L47" s="120"/>
      <c r="M47" s="120"/>
      <c r="N47" s="28">
        <v>6884</v>
      </c>
      <c r="O47" s="120"/>
      <c r="P47" s="120"/>
      <c r="Q47" s="28">
        <v>837</v>
      </c>
      <c r="R47" s="120"/>
      <c r="S47" s="120"/>
      <c r="T47" s="28">
        <v>140.5819149914</v>
      </c>
      <c r="U47" s="23"/>
      <c r="V47" s="23"/>
      <c r="W47" s="75" t="s">
        <v>78</v>
      </c>
      <c r="X47" s="120"/>
      <c r="Y47" s="120"/>
      <c r="Z47" s="28">
        <v>27758.833678403713</v>
      </c>
      <c r="AA47" s="23"/>
      <c r="AB47" s="23"/>
      <c r="AC47" s="121">
        <v>40.186917765492701</v>
      </c>
      <c r="AD47" s="23"/>
    </row>
    <row r="48" spans="3:30" s="87" customFormat="1" ht="17.25" customHeight="1">
      <c r="C48" s="162">
        <v>2011</v>
      </c>
      <c r="D48" s="152"/>
      <c r="E48" s="159">
        <v>2412</v>
      </c>
      <c r="F48" s="166"/>
      <c r="G48" s="166"/>
      <c r="H48" s="159">
        <v>148579</v>
      </c>
      <c r="I48" s="166"/>
      <c r="J48" s="166"/>
      <c r="K48" s="161" t="s">
        <v>78</v>
      </c>
      <c r="L48" s="167"/>
      <c r="M48" s="167"/>
      <c r="N48" s="161" t="s">
        <v>78</v>
      </c>
      <c r="O48" s="167"/>
      <c r="P48" s="167"/>
      <c r="Q48" s="161" t="s">
        <v>78</v>
      </c>
      <c r="R48" s="167"/>
      <c r="S48" s="167"/>
      <c r="T48" s="159">
        <v>147.19062145944</v>
      </c>
      <c r="U48" s="166"/>
      <c r="V48" s="166"/>
      <c r="W48" s="161" t="s">
        <v>78</v>
      </c>
      <c r="X48" s="167"/>
      <c r="Y48" s="167"/>
      <c r="Z48" s="159">
        <v>29898.5316276101</v>
      </c>
      <c r="AA48" s="166"/>
      <c r="AB48" s="166"/>
      <c r="AC48" s="168">
        <v>38.231229835576897</v>
      </c>
      <c r="AD48" s="166"/>
    </row>
    <row r="49" spans="2:31" s="87" customFormat="1" ht="10.5" customHeight="1">
      <c r="C49" s="162">
        <v>2012</v>
      </c>
      <c r="D49" s="152"/>
      <c r="E49" s="159">
        <v>2646</v>
      </c>
      <c r="F49" s="166"/>
      <c r="G49" s="166"/>
      <c r="H49" s="159">
        <v>173264</v>
      </c>
      <c r="I49" s="166"/>
      <c r="J49" s="166"/>
      <c r="K49" s="161" t="s">
        <v>78</v>
      </c>
      <c r="L49" s="167"/>
      <c r="M49" s="167"/>
      <c r="N49" s="161" t="s">
        <v>78</v>
      </c>
      <c r="O49" s="167"/>
      <c r="P49" s="167"/>
      <c r="Q49" s="161" t="s">
        <v>78</v>
      </c>
      <c r="R49" s="167"/>
      <c r="S49" s="167"/>
      <c r="T49" s="159">
        <v>145.730704024966</v>
      </c>
      <c r="U49" s="166"/>
      <c r="V49" s="166"/>
      <c r="W49" s="161" t="s">
        <v>78</v>
      </c>
      <c r="X49" s="167"/>
      <c r="Y49" s="167"/>
      <c r="Z49" s="159">
        <v>30758.211643537652</v>
      </c>
      <c r="AA49" s="166"/>
      <c r="AB49" s="166"/>
      <c r="AC49" s="168">
        <v>38.299595180129998</v>
      </c>
      <c r="AD49" s="166"/>
    </row>
    <row r="50" spans="2:31" s="87" customFormat="1" ht="10.5" customHeight="1">
      <c r="C50" s="162">
        <v>2013</v>
      </c>
      <c r="D50" s="152"/>
      <c r="E50" s="159">
        <v>2715</v>
      </c>
      <c r="F50" s="166"/>
      <c r="G50" s="166"/>
      <c r="H50" s="159">
        <v>177716</v>
      </c>
      <c r="I50" s="166"/>
      <c r="J50" s="166"/>
      <c r="K50" s="161" t="s">
        <v>78</v>
      </c>
      <c r="L50" s="167"/>
      <c r="M50" s="167"/>
      <c r="N50" s="161" t="s">
        <v>78</v>
      </c>
      <c r="O50" s="167"/>
      <c r="P50" s="167"/>
      <c r="Q50" s="161" t="s">
        <v>78</v>
      </c>
      <c r="R50" s="167"/>
      <c r="S50" s="167"/>
      <c r="T50" s="159">
        <v>151.18521757279899</v>
      </c>
      <c r="U50" s="166"/>
      <c r="V50" s="166"/>
      <c r="W50" s="161" t="s">
        <v>78</v>
      </c>
      <c r="X50" s="167"/>
      <c r="Y50" s="167"/>
      <c r="Z50" s="159">
        <v>33474.00020997371</v>
      </c>
      <c r="AA50" s="166"/>
      <c r="AB50" s="166"/>
      <c r="AC50" s="168">
        <v>35.423045508665403</v>
      </c>
      <c r="AD50" s="166"/>
    </row>
    <row r="51" spans="2:31" s="87" customFormat="1" ht="10.5" customHeight="1">
      <c r="C51" s="162">
        <v>2014</v>
      </c>
      <c r="D51" s="152"/>
      <c r="E51" s="159">
        <v>2806</v>
      </c>
      <c r="F51" s="166"/>
      <c r="G51" s="166"/>
      <c r="H51" s="159">
        <v>185479</v>
      </c>
      <c r="I51" s="166"/>
      <c r="J51" s="166"/>
      <c r="K51" s="161" t="s">
        <v>78</v>
      </c>
      <c r="L51" s="167"/>
      <c r="M51" s="167"/>
      <c r="N51" s="161" t="s">
        <v>78</v>
      </c>
      <c r="O51" s="167"/>
      <c r="P51" s="167"/>
      <c r="Q51" s="161" t="s">
        <v>78</v>
      </c>
      <c r="R51" s="167"/>
      <c r="S51" s="167"/>
      <c r="T51" s="159">
        <v>152.98396422386</v>
      </c>
      <c r="U51" s="166"/>
      <c r="V51" s="166"/>
      <c r="W51" s="161" t="s">
        <v>78</v>
      </c>
      <c r="X51" s="167"/>
      <c r="Y51" s="167"/>
      <c r="Z51" s="159">
        <v>34272.317332494487</v>
      </c>
      <c r="AA51" s="166"/>
      <c r="AB51" s="166"/>
      <c r="AC51" s="168">
        <v>35.367253947442599</v>
      </c>
      <c r="AD51" s="166"/>
    </row>
    <row r="52" spans="2:31" s="87" customFormat="1" ht="10.5" customHeight="1">
      <c r="C52" s="162">
        <v>2015</v>
      </c>
      <c r="D52" s="152"/>
      <c r="E52" s="159">
        <v>2858</v>
      </c>
      <c r="F52" s="166"/>
      <c r="G52" s="166"/>
      <c r="H52" s="159">
        <v>187969</v>
      </c>
      <c r="I52" s="166"/>
      <c r="J52" s="166"/>
      <c r="K52" s="161" t="s">
        <v>78</v>
      </c>
      <c r="L52" s="167"/>
      <c r="M52" s="167"/>
      <c r="N52" s="161" t="s">
        <v>78</v>
      </c>
      <c r="O52" s="167"/>
      <c r="P52" s="167"/>
      <c r="Q52" s="161" t="s">
        <v>78</v>
      </c>
      <c r="R52" s="167"/>
      <c r="S52" s="167"/>
      <c r="T52" s="159">
        <v>152.880220614085</v>
      </c>
      <c r="U52" s="166"/>
      <c r="V52" s="166"/>
      <c r="W52" s="161" t="s">
        <v>78</v>
      </c>
      <c r="X52" s="167"/>
      <c r="Y52" s="167"/>
      <c r="Z52" s="159">
        <v>34896.27273160193</v>
      </c>
      <c r="AA52" s="166"/>
      <c r="AB52" s="166"/>
      <c r="AC52" s="168">
        <v>36.250128699280197</v>
      </c>
      <c r="AD52" s="166"/>
    </row>
    <row r="53" spans="2:31" s="87" customFormat="1" ht="17.25" customHeight="1">
      <c r="C53" s="162">
        <v>2016</v>
      </c>
      <c r="D53" s="152"/>
      <c r="E53" s="159">
        <v>2964</v>
      </c>
      <c r="F53" s="166"/>
      <c r="G53" s="166"/>
      <c r="H53" s="159">
        <v>192929</v>
      </c>
      <c r="I53" s="166"/>
      <c r="J53" s="166"/>
      <c r="K53" s="161" t="s">
        <v>78</v>
      </c>
      <c r="L53" s="167"/>
      <c r="M53" s="167"/>
      <c r="N53" s="161" t="s">
        <v>78</v>
      </c>
      <c r="O53" s="167"/>
      <c r="P53" s="167"/>
      <c r="Q53" s="161" t="s">
        <v>78</v>
      </c>
      <c r="R53" s="167"/>
      <c r="S53" s="167"/>
      <c r="T53" s="159">
        <v>157.72318447372999</v>
      </c>
      <c r="U53" s="166"/>
      <c r="V53" s="166"/>
      <c r="W53" s="161" t="s">
        <v>78</v>
      </c>
      <c r="X53" s="167"/>
      <c r="Y53" s="167"/>
      <c r="Z53" s="159">
        <v>36050.714068450841</v>
      </c>
      <c r="AA53" s="166"/>
      <c r="AB53" s="166"/>
      <c r="AC53" s="168">
        <v>35.506402064091603</v>
      </c>
      <c r="AD53" s="166"/>
    </row>
    <row r="54" spans="2:31" s="87" customFormat="1" ht="10.5" customHeight="1">
      <c r="C54" s="162">
        <v>2017</v>
      </c>
      <c r="D54" s="152"/>
      <c r="E54" s="159">
        <v>3048</v>
      </c>
      <c r="F54" s="166"/>
      <c r="G54" s="166"/>
      <c r="H54" s="159">
        <v>194929</v>
      </c>
      <c r="I54" s="166"/>
      <c r="J54" s="166"/>
      <c r="K54" s="161" t="s">
        <v>78</v>
      </c>
      <c r="L54" s="167"/>
      <c r="M54" s="167"/>
      <c r="N54" s="161" t="s">
        <v>78</v>
      </c>
      <c r="O54" s="167"/>
      <c r="P54" s="167"/>
      <c r="Q54" s="161" t="s">
        <v>78</v>
      </c>
      <c r="R54" s="167"/>
      <c r="S54" s="167"/>
      <c r="T54" s="159">
        <v>160.38362369800299</v>
      </c>
      <c r="U54" s="166"/>
      <c r="V54" s="166"/>
      <c r="W54" s="161" t="s">
        <v>78</v>
      </c>
      <c r="X54" s="167"/>
      <c r="Y54" s="167"/>
      <c r="Z54" s="159">
        <v>36680.393392788967</v>
      </c>
      <c r="AA54" s="166"/>
      <c r="AB54" s="166"/>
      <c r="AC54" s="168">
        <v>36.342610186100899</v>
      </c>
      <c r="AD54" s="166"/>
    </row>
    <row r="55" spans="2:31" s="87" customFormat="1" ht="10.5" customHeight="1">
      <c r="C55" s="162">
        <v>2018</v>
      </c>
      <c r="D55" s="152"/>
      <c r="E55" s="159">
        <v>3084</v>
      </c>
      <c r="F55" s="166"/>
      <c r="G55" s="166"/>
      <c r="H55" s="159">
        <v>196149.10714285716</v>
      </c>
      <c r="I55" s="166"/>
      <c r="J55" s="166"/>
      <c r="K55" s="161" t="s">
        <v>78</v>
      </c>
      <c r="L55" s="167"/>
      <c r="M55" s="167"/>
      <c r="N55" s="161" t="s">
        <v>78</v>
      </c>
      <c r="O55" s="167"/>
      <c r="P55" s="167"/>
      <c r="Q55" s="161" t="s">
        <v>78</v>
      </c>
      <c r="R55" s="167"/>
      <c r="S55" s="167"/>
      <c r="T55" s="159">
        <v>165.09513402300001</v>
      </c>
      <c r="U55" s="166"/>
      <c r="V55" s="166"/>
      <c r="W55" s="161" t="s">
        <v>78</v>
      </c>
      <c r="X55" s="167"/>
      <c r="Y55" s="167"/>
      <c r="Z55" s="159">
        <v>37740.74370429846</v>
      </c>
      <c r="AA55" s="166"/>
      <c r="AB55" s="166"/>
      <c r="AC55" s="168">
        <v>35.894359563753298</v>
      </c>
      <c r="AD55" s="166"/>
      <c r="AE55" s="75"/>
    </row>
    <row r="56" spans="2:31" s="87" customFormat="1" ht="10.5" customHeight="1">
      <c r="C56" s="162">
        <v>2019</v>
      </c>
      <c r="D56" s="152"/>
      <c r="E56" s="159">
        <v>3096</v>
      </c>
      <c r="F56" s="166"/>
      <c r="G56" s="166"/>
      <c r="H56" s="159">
        <v>196817</v>
      </c>
      <c r="I56" s="166"/>
      <c r="J56" s="166"/>
      <c r="K56" s="161" t="s">
        <v>78</v>
      </c>
      <c r="L56" s="167"/>
      <c r="M56" s="167"/>
      <c r="N56" s="161" t="s">
        <v>78</v>
      </c>
      <c r="O56" s="167"/>
      <c r="P56" s="167"/>
      <c r="Q56" s="161" t="s">
        <v>78</v>
      </c>
      <c r="R56" s="167"/>
      <c r="S56" s="167"/>
      <c r="T56" s="159">
        <v>168.05521840722901</v>
      </c>
      <c r="U56" s="166"/>
      <c r="V56" s="166"/>
      <c r="W56" s="161" t="s">
        <v>78</v>
      </c>
      <c r="X56" s="167"/>
      <c r="Y56" s="167"/>
      <c r="Z56" s="159">
        <v>38841.255991031394</v>
      </c>
      <c r="AA56" s="166"/>
      <c r="AB56" s="166"/>
      <c r="AC56" s="168">
        <v>37.612602531426802</v>
      </c>
      <c r="AD56" s="166"/>
      <c r="AE56" s="28"/>
    </row>
    <row r="57" spans="2:31" s="87" customFormat="1" ht="10.5" customHeight="1">
      <c r="C57" s="162">
        <v>2020</v>
      </c>
      <c r="D57" s="152"/>
      <c r="E57" s="159">
        <v>3284</v>
      </c>
      <c r="F57" s="166"/>
      <c r="G57" s="166"/>
      <c r="H57" s="159">
        <v>212993</v>
      </c>
      <c r="I57" s="166"/>
      <c r="J57" s="166"/>
      <c r="K57" s="161" t="s">
        <v>78</v>
      </c>
      <c r="L57" s="167"/>
      <c r="M57" s="167"/>
      <c r="N57" s="161" t="s">
        <v>78</v>
      </c>
      <c r="O57" s="167"/>
      <c r="P57" s="167"/>
      <c r="Q57" s="161" t="s">
        <v>78</v>
      </c>
      <c r="R57" s="167"/>
      <c r="S57" s="167"/>
      <c r="T57" s="159">
        <v>151.35295398299999</v>
      </c>
      <c r="U57" s="166"/>
      <c r="V57" s="166"/>
      <c r="W57" s="161" t="s">
        <v>78</v>
      </c>
      <c r="X57" s="167"/>
      <c r="Y57" s="167"/>
      <c r="Z57" s="159">
        <v>35943.911951567919</v>
      </c>
      <c r="AA57" s="166"/>
      <c r="AB57" s="166"/>
      <c r="AC57" s="168">
        <v>22.6150806168359</v>
      </c>
      <c r="AD57" s="166"/>
    </row>
    <row r="58" spans="2:31" s="87" customFormat="1" ht="17.25" customHeight="1">
      <c r="C58" s="162">
        <v>2021</v>
      </c>
      <c r="D58" s="152"/>
      <c r="E58" s="159">
        <v>3390</v>
      </c>
      <c r="F58" s="166"/>
      <c r="G58" s="166"/>
      <c r="H58" s="159">
        <v>220220</v>
      </c>
      <c r="I58" s="166"/>
      <c r="J58" s="166"/>
      <c r="K58" s="161" t="s">
        <v>78</v>
      </c>
      <c r="L58" s="167"/>
      <c r="M58" s="167"/>
      <c r="N58" s="161" t="s">
        <v>78</v>
      </c>
      <c r="O58" s="167"/>
      <c r="P58" s="167"/>
      <c r="Q58" s="161" t="s">
        <v>78</v>
      </c>
      <c r="R58" s="167"/>
      <c r="S58" s="167"/>
      <c r="T58" s="159">
        <v>159.18148186100993</v>
      </c>
      <c r="U58" s="166"/>
      <c r="V58" s="166"/>
      <c r="W58" s="161" t="s">
        <v>78</v>
      </c>
      <c r="X58" s="167"/>
      <c r="Y58" s="167"/>
      <c r="Z58" s="159">
        <v>37890.85754993766</v>
      </c>
      <c r="AA58" s="166"/>
      <c r="AB58" s="166"/>
      <c r="AC58" s="168">
        <v>21.185821109935201</v>
      </c>
      <c r="AD58" s="166"/>
    </row>
    <row r="59" spans="2:31" ht="6" customHeight="1">
      <c r="B59" s="13"/>
      <c r="C59" s="13"/>
      <c r="D59" s="62"/>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row>
    <row r="60" spans="2:31" ht="14.25" customHeight="1">
      <c r="C60" s="474" t="s">
        <v>80</v>
      </c>
      <c r="D60" s="498" t="s">
        <v>160</v>
      </c>
      <c r="E60" s="517"/>
      <c r="F60" s="517"/>
      <c r="G60" s="517"/>
      <c r="H60" s="517"/>
      <c r="I60" s="517"/>
      <c r="J60" s="517"/>
      <c r="K60" s="517"/>
      <c r="L60" s="517"/>
      <c r="M60" s="517"/>
      <c r="N60" s="517"/>
      <c r="O60" s="517"/>
      <c r="P60" s="517"/>
      <c r="Q60" s="517"/>
      <c r="R60" s="517"/>
      <c r="S60" s="156"/>
      <c r="T60" s="498" t="s">
        <v>161</v>
      </c>
      <c r="U60" s="498"/>
      <c r="V60" s="498"/>
      <c r="W60" s="498"/>
      <c r="X60" s="498"/>
      <c r="Y60" s="498"/>
      <c r="Z60" s="498"/>
      <c r="AA60" s="498"/>
      <c r="AB60" s="498"/>
      <c r="AC60" s="498"/>
      <c r="AD60" s="498"/>
    </row>
    <row r="61" spans="2:31" ht="24.75" customHeight="1">
      <c r="C61" s="474"/>
      <c r="D61" s="495" t="s">
        <v>162</v>
      </c>
      <c r="E61" s="515"/>
      <c r="F61" s="515"/>
      <c r="G61" s="515"/>
      <c r="H61" s="515"/>
      <c r="I61" s="515"/>
      <c r="J61" s="180"/>
      <c r="K61" s="495" t="s">
        <v>163</v>
      </c>
      <c r="L61" s="495"/>
      <c r="M61" s="495"/>
      <c r="N61" s="495"/>
      <c r="O61" s="495"/>
      <c r="P61" s="495"/>
      <c r="Q61" s="495"/>
      <c r="R61" s="495"/>
      <c r="S61" s="154"/>
      <c r="T61" s="459" t="s">
        <v>164</v>
      </c>
      <c r="U61" s="459"/>
      <c r="V61" s="154"/>
      <c r="W61" s="459" t="s">
        <v>165</v>
      </c>
      <c r="X61" s="459"/>
      <c r="Y61" s="154"/>
      <c r="Z61" s="495" t="s">
        <v>166</v>
      </c>
      <c r="AA61" s="495"/>
      <c r="AB61" s="495"/>
      <c r="AC61" s="495"/>
      <c r="AD61" s="495"/>
    </row>
    <row r="62" spans="2:31" ht="33.75" customHeight="1">
      <c r="C62" s="474"/>
      <c r="D62" s="466" t="s">
        <v>167</v>
      </c>
      <c r="E62" s="518"/>
      <c r="F62" s="518"/>
      <c r="G62" s="181"/>
      <c r="H62" s="466" t="s">
        <v>168</v>
      </c>
      <c r="I62" s="466"/>
      <c r="J62" s="153"/>
      <c r="K62" s="466" t="s">
        <v>169</v>
      </c>
      <c r="L62" s="466"/>
      <c r="M62" s="153"/>
      <c r="N62" s="466" t="s">
        <v>170</v>
      </c>
      <c r="O62" s="466"/>
      <c r="P62" s="154"/>
      <c r="Q62" s="466" t="s">
        <v>171</v>
      </c>
      <c r="R62" s="466"/>
      <c r="S62" s="154"/>
      <c r="T62" s="466"/>
      <c r="U62" s="466"/>
      <c r="V62" s="154"/>
      <c r="W62" s="466"/>
      <c r="X62" s="466"/>
      <c r="Y62" s="154"/>
      <c r="Z62" s="466" t="s">
        <v>172</v>
      </c>
      <c r="AA62" s="466"/>
      <c r="AB62" s="154"/>
      <c r="AC62" s="466" t="s">
        <v>173</v>
      </c>
      <c r="AD62" s="466"/>
    </row>
    <row r="63" spans="2:31" ht="36.75" customHeight="1">
      <c r="C63" s="474"/>
      <c r="D63" s="495" t="s">
        <v>130</v>
      </c>
      <c r="E63" s="515"/>
      <c r="F63" s="515"/>
      <c r="G63" s="515"/>
      <c r="H63" s="515"/>
      <c r="I63" s="515"/>
      <c r="J63" s="515"/>
      <c r="K63" s="515"/>
      <c r="L63" s="515"/>
      <c r="M63" s="515"/>
      <c r="N63" s="515"/>
      <c r="O63" s="515"/>
      <c r="P63" s="180"/>
      <c r="Q63" s="495" t="s">
        <v>174</v>
      </c>
      <c r="R63" s="495"/>
      <c r="S63" s="154"/>
      <c r="T63" s="495" t="s">
        <v>175</v>
      </c>
      <c r="U63" s="495"/>
      <c r="V63" s="154"/>
      <c r="W63" s="495" t="s">
        <v>176</v>
      </c>
      <c r="X63" s="495"/>
      <c r="Y63" s="154"/>
      <c r="Z63" s="495" t="s">
        <v>177</v>
      </c>
      <c r="AA63" s="495"/>
      <c r="AB63" s="154"/>
      <c r="AC63" s="495" t="s">
        <v>159</v>
      </c>
      <c r="AD63" s="495"/>
    </row>
    <row r="64" spans="2:31" ht="27" customHeight="1">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2:32" ht="14.25" customHeight="1">
      <c r="B65" s="111">
        <v>12</v>
      </c>
      <c r="C65" s="16" t="s">
        <v>178</v>
      </c>
      <c r="Q65" s="52"/>
      <c r="R65" s="16" t="s">
        <v>1202</v>
      </c>
      <c r="S65" s="211"/>
      <c r="T65" s="16"/>
      <c r="U65" s="211"/>
      <c r="V65" s="211"/>
      <c r="W65" s="211"/>
      <c r="X65" s="16"/>
      <c r="Y65" s="16"/>
      <c r="Z65" s="16"/>
      <c r="AA65" s="16"/>
      <c r="AB65" s="16"/>
      <c r="AC65" s="16"/>
      <c r="AD65" s="16"/>
      <c r="AE65" s="16"/>
      <c r="AF65" s="16"/>
    </row>
    <row r="66" spans="2:32" ht="14.25" customHeight="1">
      <c r="C66" s="16" t="s">
        <v>493</v>
      </c>
      <c r="Q66" s="52"/>
      <c r="R66" s="16" t="s">
        <v>1203</v>
      </c>
      <c r="S66" s="16"/>
      <c r="T66" s="16"/>
      <c r="U66" s="211"/>
      <c r="V66" s="211"/>
      <c r="W66" s="211"/>
      <c r="X66" s="16"/>
      <c r="Y66" s="16"/>
      <c r="Z66" s="16"/>
      <c r="AA66" s="16"/>
      <c r="AB66" s="16"/>
      <c r="AC66" s="16"/>
      <c r="AD66" s="16"/>
    </row>
    <row r="67" spans="2:32" ht="14.25" customHeight="1">
      <c r="B67" s="52"/>
      <c r="C67" s="53" t="s">
        <v>180</v>
      </c>
      <c r="Q67" s="52"/>
      <c r="R67" s="53" t="s">
        <v>1145</v>
      </c>
      <c r="S67" s="211"/>
      <c r="T67" s="16"/>
      <c r="U67" s="211"/>
      <c r="V67" s="211"/>
      <c r="W67" s="211"/>
      <c r="X67" s="16"/>
      <c r="Y67" s="16"/>
      <c r="Z67" s="16"/>
      <c r="AA67" s="16"/>
      <c r="AB67" s="16"/>
      <c r="AC67" s="16"/>
      <c r="AD67" s="16"/>
    </row>
    <row r="68" spans="2:32" ht="14.25" customHeight="1">
      <c r="B68" s="52"/>
      <c r="R68" s="53" t="s">
        <v>568</v>
      </c>
      <c r="S68" s="211"/>
      <c r="T68" s="211"/>
      <c r="U68" s="211"/>
      <c r="V68" s="211"/>
      <c r="W68" s="211"/>
      <c r="X68" s="211"/>
      <c r="Y68" s="211"/>
      <c r="Z68" s="211"/>
      <c r="AA68" s="211"/>
      <c r="AB68" s="211"/>
      <c r="AC68" s="211"/>
    </row>
    <row r="69" spans="2:32" ht="14.25" customHeight="1">
      <c r="B69" s="52">
        <v>13</v>
      </c>
      <c r="C69" s="16" t="s">
        <v>182</v>
      </c>
      <c r="R69" s="210"/>
      <c r="S69" s="209"/>
      <c r="T69" s="209"/>
      <c r="U69" s="209"/>
      <c r="V69" s="209"/>
      <c r="W69" s="209"/>
      <c r="X69" s="209"/>
      <c r="Y69" s="209"/>
      <c r="Z69" s="209"/>
      <c r="AA69" s="209"/>
      <c r="AB69" s="209"/>
      <c r="AC69" s="209"/>
    </row>
    <row r="70" spans="2:32" ht="14.25" customHeight="1">
      <c r="C70" s="16" t="s">
        <v>495</v>
      </c>
      <c r="Q70" s="52"/>
      <c r="R70" s="209"/>
      <c r="S70" s="208"/>
      <c r="T70" s="208"/>
      <c r="U70" s="208"/>
      <c r="V70" s="208"/>
      <c r="W70" s="208"/>
      <c r="X70" s="208"/>
      <c r="Y70" s="208"/>
      <c r="Z70" s="208"/>
      <c r="AA70" s="208"/>
      <c r="AB70" s="208"/>
      <c r="AC70" s="208"/>
    </row>
    <row r="71" spans="2:32" ht="14.25" customHeight="1">
      <c r="B71" s="52"/>
      <c r="C71" s="53" t="s">
        <v>183</v>
      </c>
      <c r="Q71" s="52"/>
      <c r="R71" s="16"/>
      <c r="S71" s="211"/>
      <c r="T71" s="16"/>
      <c r="U71" s="16"/>
      <c r="V71" s="16"/>
      <c r="W71" s="16"/>
      <c r="X71" s="16"/>
      <c r="Y71" s="16"/>
      <c r="Z71" s="16"/>
      <c r="AA71" s="16"/>
      <c r="AB71" s="16"/>
      <c r="AC71" s="16"/>
    </row>
    <row r="72" spans="2:32" ht="14.25" customHeight="1">
      <c r="B72" s="52"/>
      <c r="C72" s="53" t="s">
        <v>184</v>
      </c>
      <c r="R72" s="16"/>
      <c r="S72" s="211"/>
      <c r="T72" s="16"/>
      <c r="U72" s="16"/>
      <c r="V72" s="16"/>
      <c r="W72" s="16"/>
      <c r="X72" s="16"/>
      <c r="Y72" s="16"/>
      <c r="Z72" s="16"/>
      <c r="AA72" s="16"/>
      <c r="AB72" s="16"/>
      <c r="AC72" s="16"/>
    </row>
    <row r="73" spans="2:32" ht="14.25" customHeight="1">
      <c r="R73" s="53"/>
      <c r="S73" s="211"/>
      <c r="T73" s="16"/>
      <c r="U73" s="16"/>
      <c r="V73" s="16"/>
      <c r="W73" s="16"/>
      <c r="X73" s="16"/>
      <c r="Y73" s="16"/>
      <c r="Z73" s="16"/>
      <c r="AA73" s="16"/>
      <c r="AB73" s="16"/>
      <c r="AC73" s="16"/>
    </row>
    <row r="74" spans="2:32" ht="14.25" customHeight="1">
      <c r="B74" s="52">
        <v>14</v>
      </c>
      <c r="C74" s="16" t="s">
        <v>179</v>
      </c>
      <c r="D74" s="16"/>
      <c r="R74" s="53"/>
      <c r="S74" s="211"/>
      <c r="T74" s="211"/>
      <c r="U74" s="16"/>
      <c r="V74" s="16"/>
      <c r="W74" s="16"/>
      <c r="X74" s="16"/>
      <c r="Y74" s="16"/>
      <c r="Z74" s="16"/>
      <c r="AA74" s="16"/>
      <c r="AB74" s="16"/>
      <c r="AC74" s="16"/>
    </row>
    <row r="75" spans="2:32" ht="14.25" customHeight="1">
      <c r="C75" s="53" t="s">
        <v>494</v>
      </c>
      <c r="D75" s="53"/>
      <c r="R75" s="53"/>
      <c r="S75" s="211"/>
      <c r="T75" s="211"/>
      <c r="U75" s="211"/>
      <c r="V75" s="211"/>
      <c r="W75" s="211"/>
      <c r="X75" s="211"/>
      <c r="Y75" s="211"/>
      <c r="Z75" s="211"/>
      <c r="AA75" s="211"/>
      <c r="AB75" s="211"/>
      <c r="AC75" s="211"/>
    </row>
    <row r="76" spans="2:32" ht="14.25" customHeight="1">
      <c r="C76" s="53" t="s">
        <v>181</v>
      </c>
      <c r="D76" s="53"/>
    </row>
  </sheetData>
  <mergeCells count="51">
    <mergeCell ref="W61:X62"/>
    <mergeCell ref="Z61:AD61"/>
    <mergeCell ref="Z62:AA62"/>
    <mergeCell ref="AC62:AD62"/>
    <mergeCell ref="D62:F62"/>
    <mergeCell ref="H62:I62"/>
    <mergeCell ref="K62:L62"/>
    <mergeCell ref="N62:O62"/>
    <mergeCell ref="Q62:R62"/>
    <mergeCell ref="T61:U62"/>
    <mergeCell ref="T7:U7"/>
    <mergeCell ref="W7:X7"/>
    <mergeCell ref="Z7:AA7"/>
    <mergeCell ref="E7:O7"/>
    <mergeCell ref="T4:AD4"/>
    <mergeCell ref="K5:R5"/>
    <mergeCell ref="T5:U6"/>
    <mergeCell ref="AC7:AD7"/>
    <mergeCell ref="W5:X6"/>
    <mergeCell ref="Z5:AD5"/>
    <mergeCell ref="H6:I6"/>
    <mergeCell ref="K6:L6"/>
    <mergeCell ref="N6:O6"/>
    <mergeCell ref="Q6:R6"/>
    <mergeCell ref="Z6:AA6"/>
    <mergeCell ref="AC6:AD6"/>
    <mergeCell ref="T9:U9"/>
    <mergeCell ref="W9:X9"/>
    <mergeCell ref="Z9:AA9"/>
    <mergeCell ref="AC9:AD9"/>
    <mergeCell ref="D60:R60"/>
    <mergeCell ref="T60:AD60"/>
    <mergeCell ref="D9:F9"/>
    <mergeCell ref="H9:I9"/>
    <mergeCell ref="K9:L9"/>
    <mergeCell ref="N9:O9"/>
    <mergeCell ref="Q9:R9"/>
    <mergeCell ref="T63:U63"/>
    <mergeCell ref="W63:X63"/>
    <mergeCell ref="Z63:AA63"/>
    <mergeCell ref="AC63:AD63"/>
    <mergeCell ref="Q63:R63"/>
    <mergeCell ref="E4:R4"/>
    <mergeCell ref="E5:I5"/>
    <mergeCell ref="E6:F6"/>
    <mergeCell ref="C4:C7"/>
    <mergeCell ref="C60:C63"/>
    <mergeCell ref="D63:O63"/>
    <mergeCell ref="D61:I61"/>
    <mergeCell ref="K61:R61"/>
    <mergeCell ref="Q7:R7"/>
  </mergeCells>
  <printOptions horizontalCentered="1"/>
  <pageMargins left="0.19685039370078741" right="0.19685039370078741" top="0.19685039370078741" bottom="0.19685039370078741" header="0" footer="0"/>
  <pageSetup paperSize="9" scale="8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BA103"/>
  <sheetViews>
    <sheetView zoomScaleNormal="100" workbookViewId="0"/>
  </sheetViews>
  <sheetFormatPr defaultColWidth="9.109375" defaultRowHeight="13.8"/>
  <cols>
    <col min="1" max="1" width="0.88671875" style="11" customWidth="1"/>
    <col min="2" max="2" width="1.6640625" style="11" customWidth="1"/>
    <col min="3" max="3" width="4.109375" style="11" customWidth="1"/>
    <col min="4" max="4" width="1.5546875" style="11" customWidth="1"/>
    <col min="5" max="5" width="7.88671875" style="11" customWidth="1"/>
    <col min="6" max="6" width="1.33203125" style="11" customWidth="1"/>
    <col min="7" max="7" width="1.6640625" style="11" customWidth="1"/>
    <col min="8" max="8" width="6.33203125" style="11" customWidth="1"/>
    <col min="9" max="9" width="1.33203125" style="11" customWidth="1"/>
    <col min="10" max="10" width="1.6640625" style="11" customWidth="1"/>
    <col min="11" max="11" width="6.5546875" style="11" customWidth="1"/>
    <col min="12" max="12" width="1.33203125" style="11" customWidth="1"/>
    <col min="13" max="13" width="1.6640625" style="11" customWidth="1"/>
    <col min="14" max="14" width="6" style="11" customWidth="1"/>
    <col min="15" max="15" width="1.33203125" style="11" customWidth="1"/>
    <col min="16" max="16" width="1.6640625" style="11" customWidth="1"/>
    <col min="17" max="17" width="8.44140625" style="11" customWidth="1"/>
    <col min="18" max="19" width="1.6640625" style="11" customWidth="1"/>
    <col min="20" max="20" width="9.44140625" style="11" customWidth="1"/>
    <col min="21" max="22" width="1.6640625" style="11" customWidth="1"/>
    <col min="23" max="23" width="7.5546875" style="11" customWidth="1"/>
    <col min="24" max="25" width="1.6640625" style="11" customWidth="1"/>
    <col min="26" max="26" width="6.33203125" style="11" customWidth="1"/>
    <col min="27" max="28" width="1.6640625" style="11" customWidth="1"/>
    <col min="29" max="29" width="5.6640625" style="11" customWidth="1"/>
    <col min="30" max="31" width="1.6640625" style="11" customWidth="1"/>
    <col min="32" max="32" width="5.6640625" style="11" customWidth="1"/>
    <col min="33" max="34" width="1.6640625" style="11" customWidth="1"/>
    <col min="35" max="35" width="5.6640625" style="11" customWidth="1"/>
    <col min="36" max="36" width="1.6640625" style="11" customWidth="1"/>
    <col min="37" max="16384" width="9.109375" style="11"/>
  </cols>
  <sheetData>
    <row r="1" spans="2:36">
      <c r="B1" s="10" t="s">
        <v>1198</v>
      </c>
      <c r="C1" s="10"/>
    </row>
    <row r="2" spans="2:36">
      <c r="B2" s="156" t="s">
        <v>1217</v>
      </c>
      <c r="C2" s="10"/>
    </row>
    <row r="3" spans="2:36" ht="6" customHeight="1">
      <c r="B3" s="13"/>
      <c r="C3" s="62"/>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row>
    <row r="4" spans="2:36" ht="26.25" customHeight="1">
      <c r="B4" s="516" t="s">
        <v>64</v>
      </c>
      <c r="C4" s="516"/>
      <c r="D4" s="516"/>
      <c r="E4" s="493" t="s">
        <v>185</v>
      </c>
      <c r="F4" s="493"/>
      <c r="G4" s="493"/>
      <c r="H4" s="493"/>
      <c r="I4" s="493"/>
      <c r="J4" s="493"/>
      <c r="K4" s="493"/>
      <c r="L4" s="493"/>
      <c r="M4" s="493"/>
      <c r="N4" s="493"/>
      <c r="O4" s="493"/>
      <c r="P4" s="493"/>
      <c r="Q4" s="493"/>
      <c r="R4" s="493"/>
      <c r="S4" s="493"/>
      <c r="T4" s="493"/>
      <c r="U4" s="493"/>
      <c r="V4" s="493"/>
      <c r="W4" s="493"/>
      <c r="X4" s="493"/>
      <c r="Y4" s="493"/>
      <c r="Z4" s="493"/>
      <c r="AA4" s="493"/>
      <c r="AB4" s="116"/>
      <c r="AC4" s="493" t="s">
        <v>186</v>
      </c>
      <c r="AD4" s="493"/>
      <c r="AE4" s="493"/>
      <c r="AF4" s="493"/>
      <c r="AG4" s="493"/>
      <c r="AH4" s="493"/>
      <c r="AI4" s="493"/>
      <c r="AJ4" s="493"/>
    </row>
    <row r="5" spans="2:36" ht="14.25" customHeight="1">
      <c r="B5" s="516"/>
      <c r="C5" s="516"/>
      <c r="D5" s="516"/>
      <c r="E5" s="516" t="s">
        <v>187</v>
      </c>
      <c r="F5" s="516"/>
      <c r="G5" s="116"/>
      <c r="H5" s="504" t="s">
        <v>9</v>
      </c>
      <c r="I5" s="505"/>
      <c r="J5" s="505"/>
      <c r="K5" s="505"/>
      <c r="L5" s="505"/>
      <c r="M5" s="505"/>
      <c r="N5" s="505"/>
      <c r="O5" s="505"/>
      <c r="P5" s="61"/>
      <c r="Q5" s="493" t="s">
        <v>188</v>
      </c>
      <c r="R5" s="522"/>
      <c r="S5" s="522"/>
      <c r="T5" s="522"/>
      <c r="U5" s="522"/>
      <c r="V5" s="522"/>
      <c r="W5" s="522"/>
      <c r="X5" s="522"/>
      <c r="Y5" s="522"/>
      <c r="Z5" s="522"/>
      <c r="AA5" s="522"/>
      <c r="AC5" s="516" t="s">
        <v>189</v>
      </c>
      <c r="AD5" s="516"/>
      <c r="AE5" s="116"/>
      <c r="AF5" s="516" t="s">
        <v>190</v>
      </c>
      <c r="AG5" s="516"/>
      <c r="AH5" s="116"/>
      <c r="AI5" s="516" t="s">
        <v>191</v>
      </c>
      <c r="AJ5" s="516"/>
    </row>
    <row r="6" spans="2:36" ht="30" customHeight="1">
      <c r="B6" s="516"/>
      <c r="C6" s="516"/>
      <c r="D6" s="516"/>
      <c r="E6" s="492"/>
      <c r="F6" s="492"/>
      <c r="G6" s="116"/>
      <c r="H6" s="492" t="s">
        <v>748</v>
      </c>
      <c r="I6" s="467"/>
      <c r="J6" s="91"/>
      <c r="K6" s="492" t="s">
        <v>749</v>
      </c>
      <c r="L6" s="475"/>
      <c r="M6" s="2"/>
      <c r="N6" s="492" t="s">
        <v>68</v>
      </c>
      <c r="O6" s="492"/>
      <c r="P6" s="116"/>
      <c r="Q6" s="492" t="s">
        <v>192</v>
      </c>
      <c r="R6" s="492"/>
      <c r="S6" s="116"/>
      <c r="T6" s="492" t="s">
        <v>193</v>
      </c>
      <c r="U6" s="492"/>
      <c r="V6" s="116"/>
      <c r="W6" s="492" t="s">
        <v>194</v>
      </c>
      <c r="X6" s="492"/>
      <c r="Y6" s="116"/>
      <c r="Z6" s="492" t="s">
        <v>68</v>
      </c>
      <c r="AA6" s="492"/>
      <c r="AB6" s="116"/>
      <c r="AC6" s="492"/>
      <c r="AD6" s="492"/>
      <c r="AE6" s="116"/>
      <c r="AF6" s="492"/>
      <c r="AG6" s="492"/>
      <c r="AH6" s="116"/>
      <c r="AI6" s="492"/>
      <c r="AJ6" s="492"/>
    </row>
    <row r="7" spans="2:36" ht="36" customHeight="1">
      <c r="B7" s="516"/>
      <c r="C7" s="516"/>
      <c r="D7" s="516"/>
      <c r="E7" s="492" t="s">
        <v>723</v>
      </c>
      <c r="F7" s="492"/>
      <c r="G7" s="116"/>
      <c r="H7" s="492" t="s">
        <v>195</v>
      </c>
      <c r="I7" s="484"/>
      <c r="J7" s="484"/>
      <c r="K7" s="484"/>
      <c r="L7" s="484"/>
      <c r="M7" s="484"/>
      <c r="N7" s="484"/>
      <c r="O7" s="484"/>
      <c r="P7" s="92"/>
      <c r="Q7" s="492" t="s">
        <v>196</v>
      </c>
      <c r="R7" s="492"/>
      <c r="S7" s="492"/>
      <c r="T7" s="492"/>
      <c r="U7" s="492"/>
      <c r="V7" s="492"/>
      <c r="W7" s="492"/>
      <c r="X7" s="492"/>
      <c r="Y7" s="492"/>
      <c r="Z7" s="492"/>
      <c r="AA7" s="492"/>
      <c r="AB7" s="116"/>
      <c r="AC7" s="492" t="s">
        <v>515</v>
      </c>
      <c r="AD7" s="492"/>
      <c r="AE7" s="116"/>
      <c r="AF7" s="492" t="s">
        <v>155</v>
      </c>
      <c r="AG7" s="492"/>
      <c r="AH7" s="116"/>
      <c r="AI7" s="492" t="s">
        <v>496</v>
      </c>
      <c r="AJ7" s="492"/>
    </row>
    <row r="8" spans="2:36" ht="4.5" customHeight="1">
      <c r="B8" s="116"/>
      <c r="C8" s="116"/>
      <c r="D8" s="116"/>
      <c r="E8" s="116"/>
      <c r="F8" s="116"/>
      <c r="G8" s="116"/>
      <c r="H8" s="116"/>
      <c r="I8" s="92"/>
      <c r="J8" s="92"/>
      <c r="K8" s="92"/>
      <c r="L8" s="92"/>
      <c r="M8" s="92"/>
      <c r="N8" s="92"/>
      <c r="O8" s="92"/>
      <c r="P8" s="92"/>
      <c r="Q8" s="116"/>
      <c r="R8" s="116"/>
      <c r="S8" s="116"/>
      <c r="T8" s="116"/>
      <c r="U8" s="116"/>
      <c r="V8" s="116"/>
      <c r="W8" s="116"/>
      <c r="X8" s="116"/>
      <c r="Y8" s="116"/>
      <c r="Z8" s="116"/>
      <c r="AA8" s="116"/>
      <c r="AB8" s="116"/>
      <c r="AC8" s="116"/>
      <c r="AD8" s="116"/>
      <c r="AE8" s="116"/>
      <c r="AF8" s="116"/>
      <c r="AG8" s="116"/>
      <c r="AH8" s="116"/>
      <c r="AI8" s="116"/>
      <c r="AJ8" s="116"/>
    </row>
    <row r="9" spans="2:36" ht="12.75" customHeight="1">
      <c r="B9" s="497">
        <v>1</v>
      </c>
      <c r="C9" s="497"/>
      <c r="D9" s="497"/>
      <c r="E9" s="497">
        <v>29</v>
      </c>
      <c r="F9" s="497"/>
      <c r="G9" s="42"/>
      <c r="H9" s="497">
        <v>30</v>
      </c>
      <c r="I9" s="497"/>
      <c r="J9" s="42"/>
      <c r="K9" s="497">
        <v>31</v>
      </c>
      <c r="L9" s="497"/>
      <c r="M9" s="42"/>
      <c r="N9" s="497">
        <v>32</v>
      </c>
      <c r="O9" s="497"/>
      <c r="P9" s="42"/>
      <c r="Q9" s="497">
        <v>33</v>
      </c>
      <c r="R9" s="497"/>
      <c r="S9" s="42"/>
      <c r="T9" s="497">
        <v>34</v>
      </c>
      <c r="U9" s="497"/>
      <c r="V9" s="42"/>
      <c r="W9" s="497">
        <v>35</v>
      </c>
      <c r="X9" s="497"/>
      <c r="Y9" s="42"/>
      <c r="Z9" s="497">
        <v>36</v>
      </c>
      <c r="AA9" s="497"/>
      <c r="AB9" s="42"/>
      <c r="AC9" s="497">
        <v>37</v>
      </c>
      <c r="AD9" s="497"/>
      <c r="AE9" s="42"/>
      <c r="AF9" s="497">
        <v>38</v>
      </c>
      <c r="AG9" s="497"/>
      <c r="AH9" s="42"/>
      <c r="AI9" s="497">
        <v>39</v>
      </c>
      <c r="AJ9" s="497"/>
    </row>
    <row r="10" spans="2:36" ht="4.5" customHeight="1">
      <c r="B10" s="123"/>
      <c r="C10" s="48"/>
      <c r="D10" s="124"/>
      <c r="E10" s="123"/>
      <c r="F10" s="124"/>
      <c r="G10" s="124"/>
      <c r="H10" s="123"/>
      <c r="I10" s="124"/>
      <c r="J10" s="124"/>
      <c r="K10" s="123"/>
      <c r="L10" s="124"/>
      <c r="M10" s="124"/>
      <c r="N10" s="123"/>
      <c r="O10" s="124"/>
      <c r="P10" s="124"/>
      <c r="Q10" s="123"/>
      <c r="R10" s="124"/>
      <c r="S10" s="124"/>
      <c r="T10" s="124"/>
      <c r="U10" s="124"/>
      <c r="V10" s="124"/>
      <c r="W10" s="123"/>
      <c r="X10" s="124"/>
      <c r="Y10" s="124"/>
      <c r="Z10" s="123"/>
      <c r="AA10" s="124"/>
      <c r="AB10" s="124"/>
      <c r="AC10" s="123"/>
      <c r="AD10" s="124"/>
      <c r="AE10" s="124"/>
      <c r="AF10" s="123"/>
      <c r="AG10" s="124"/>
      <c r="AH10" s="124"/>
      <c r="AI10" s="123"/>
      <c r="AJ10" s="124"/>
    </row>
    <row r="11" spans="2:36" ht="10.5" customHeight="1">
      <c r="B11" s="75"/>
      <c r="C11" s="25">
        <v>1856</v>
      </c>
      <c r="D11" s="119"/>
      <c r="E11" s="75" t="s">
        <v>78</v>
      </c>
      <c r="F11" s="119"/>
      <c r="G11" s="119"/>
      <c r="H11" s="75" t="s">
        <v>78</v>
      </c>
      <c r="I11" s="119"/>
      <c r="J11" s="119"/>
      <c r="K11" s="75" t="s">
        <v>78</v>
      </c>
      <c r="L11" s="119"/>
      <c r="M11" s="119"/>
      <c r="N11" s="75" t="s">
        <v>78</v>
      </c>
      <c r="O11" s="119"/>
      <c r="P11" s="119"/>
      <c r="Q11" s="75" t="s">
        <v>78</v>
      </c>
      <c r="R11" s="119"/>
      <c r="S11" s="119"/>
      <c r="T11" s="75" t="s">
        <v>78</v>
      </c>
      <c r="U11" s="119"/>
      <c r="V11" s="119"/>
      <c r="W11" s="75" t="s">
        <v>78</v>
      </c>
      <c r="X11" s="119"/>
      <c r="Y11" s="119"/>
      <c r="Z11" s="75" t="s">
        <v>78</v>
      </c>
      <c r="AA11" s="119"/>
      <c r="AB11" s="119"/>
      <c r="AC11" s="75" t="s">
        <v>77</v>
      </c>
      <c r="AD11" s="119"/>
      <c r="AE11" s="119"/>
      <c r="AF11" s="75" t="s">
        <v>78</v>
      </c>
      <c r="AG11" s="119"/>
      <c r="AH11" s="119"/>
      <c r="AI11" s="75" t="s">
        <v>77</v>
      </c>
      <c r="AJ11" s="119"/>
    </row>
    <row r="12" spans="2:36" ht="10.5" customHeight="1">
      <c r="B12" s="75"/>
      <c r="C12" s="25">
        <v>1860</v>
      </c>
      <c r="D12" s="119"/>
      <c r="E12" s="75" t="s">
        <v>78</v>
      </c>
      <c r="F12" s="119"/>
      <c r="G12" s="119"/>
      <c r="H12" s="75" t="s">
        <v>78</v>
      </c>
      <c r="I12" s="119"/>
      <c r="J12" s="119"/>
      <c r="K12" s="75" t="s">
        <v>78</v>
      </c>
      <c r="L12" s="119"/>
      <c r="M12" s="119"/>
      <c r="N12" s="75" t="s">
        <v>78</v>
      </c>
      <c r="O12" s="119"/>
      <c r="P12" s="119"/>
      <c r="Q12" s="75" t="s">
        <v>78</v>
      </c>
      <c r="R12" s="119"/>
      <c r="S12" s="119"/>
      <c r="T12" s="75" t="s">
        <v>78</v>
      </c>
      <c r="U12" s="119"/>
      <c r="V12" s="119"/>
      <c r="W12" s="75" t="s">
        <v>78</v>
      </c>
      <c r="X12" s="119"/>
      <c r="Y12" s="119"/>
      <c r="Z12" s="75" t="s">
        <v>78</v>
      </c>
      <c r="AA12" s="119"/>
      <c r="AB12" s="119"/>
      <c r="AC12" s="75" t="s">
        <v>77</v>
      </c>
      <c r="AD12" s="119"/>
      <c r="AE12" s="119"/>
      <c r="AF12" s="75" t="s">
        <v>78</v>
      </c>
      <c r="AG12" s="119"/>
      <c r="AH12" s="119"/>
      <c r="AI12" s="75" t="s">
        <v>77</v>
      </c>
      <c r="AJ12" s="119"/>
    </row>
    <row r="13" spans="2:36" ht="10.5" customHeight="1">
      <c r="B13" s="75"/>
      <c r="C13" s="25">
        <v>1870</v>
      </c>
      <c r="D13" s="119"/>
      <c r="E13" s="28">
        <v>14314</v>
      </c>
      <c r="F13" s="119"/>
      <c r="G13" s="119"/>
      <c r="H13" s="75" t="s">
        <v>78</v>
      </c>
      <c r="I13" s="119"/>
      <c r="J13" s="119"/>
      <c r="K13" s="75" t="s">
        <v>78</v>
      </c>
      <c r="L13" s="119"/>
      <c r="M13" s="119"/>
      <c r="N13" s="28">
        <v>101</v>
      </c>
      <c r="O13" s="119"/>
      <c r="P13" s="119"/>
      <c r="Q13" s="75" t="s">
        <v>78</v>
      </c>
      <c r="R13" s="119"/>
      <c r="S13" s="119"/>
      <c r="T13" s="75" t="s">
        <v>78</v>
      </c>
      <c r="U13" s="119"/>
      <c r="V13" s="119"/>
      <c r="W13" s="75" t="s">
        <v>78</v>
      </c>
      <c r="X13" s="119"/>
      <c r="Y13" s="119"/>
      <c r="Z13" s="28">
        <v>117</v>
      </c>
      <c r="AA13" s="119"/>
      <c r="AB13" s="119"/>
      <c r="AC13" s="75" t="s">
        <v>77</v>
      </c>
      <c r="AD13" s="119"/>
      <c r="AE13" s="119"/>
      <c r="AF13" s="75" t="s">
        <v>78</v>
      </c>
      <c r="AG13" s="119"/>
      <c r="AH13" s="119"/>
      <c r="AI13" s="75" t="s">
        <v>77</v>
      </c>
      <c r="AJ13" s="119"/>
    </row>
    <row r="14" spans="2:36" ht="10.5" customHeight="1">
      <c r="B14" s="75"/>
      <c r="C14" s="25">
        <v>1880</v>
      </c>
      <c r="D14" s="119"/>
      <c r="E14" s="28">
        <v>19182</v>
      </c>
      <c r="F14" s="119"/>
      <c r="G14" s="119"/>
      <c r="H14" s="75" t="s">
        <v>78</v>
      </c>
      <c r="I14" s="119"/>
      <c r="J14" s="119"/>
      <c r="K14" s="75" t="s">
        <v>78</v>
      </c>
      <c r="L14" s="119"/>
      <c r="M14" s="119"/>
      <c r="N14" s="28">
        <v>250</v>
      </c>
      <c r="O14" s="119"/>
      <c r="P14" s="119"/>
      <c r="Q14" s="75" t="s">
        <v>78</v>
      </c>
      <c r="R14" s="119"/>
      <c r="S14" s="119"/>
      <c r="T14" s="75" t="s">
        <v>78</v>
      </c>
      <c r="U14" s="119"/>
      <c r="V14" s="119"/>
      <c r="W14" s="75" t="s">
        <v>78</v>
      </c>
      <c r="X14" s="119"/>
      <c r="Y14" s="119"/>
      <c r="Z14" s="28">
        <v>341</v>
      </c>
      <c r="AA14" s="119"/>
      <c r="AB14" s="119"/>
      <c r="AC14" s="75" t="s">
        <v>77</v>
      </c>
      <c r="AD14" s="119"/>
      <c r="AE14" s="119"/>
      <c r="AF14" s="75" t="s">
        <v>78</v>
      </c>
      <c r="AG14" s="119"/>
      <c r="AH14" s="119"/>
      <c r="AI14" s="75" t="s">
        <v>77</v>
      </c>
      <c r="AJ14" s="119"/>
    </row>
    <row r="15" spans="2:36" ht="10.5" customHeight="1">
      <c r="B15" s="75"/>
      <c r="C15" s="25">
        <v>1890</v>
      </c>
      <c r="D15" s="119"/>
      <c r="E15" s="28">
        <v>30023</v>
      </c>
      <c r="F15" s="119"/>
      <c r="G15" s="119"/>
      <c r="H15" s="75" t="s">
        <v>78</v>
      </c>
      <c r="I15" s="119"/>
      <c r="J15" s="119"/>
      <c r="K15" s="75" t="s">
        <v>78</v>
      </c>
      <c r="L15" s="119"/>
      <c r="M15" s="119"/>
      <c r="N15" s="28">
        <v>383</v>
      </c>
      <c r="O15" s="119"/>
      <c r="P15" s="119"/>
      <c r="Q15" s="75" t="s">
        <v>78</v>
      </c>
      <c r="R15" s="119"/>
      <c r="S15" s="119"/>
      <c r="T15" s="75" t="s">
        <v>78</v>
      </c>
      <c r="U15" s="119"/>
      <c r="V15" s="119"/>
      <c r="W15" s="75" t="s">
        <v>78</v>
      </c>
      <c r="X15" s="119"/>
      <c r="Y15" s="119"/>
      <c r="Z15" s="28">
        <v>591</v>
      </c>
      <c r="AA15" s="119"/>
      <c r="AB15" s="119"/>
      <c r="AC15" s="75" t="s">
        <v>77</v>
      </c>
      <c r="AD15" s="119"/>
      <c r="AE15" s="119"/>
      <c r="AF15" s="75" t="s">
        <v>78</v>
      </c>
      <c r="AG15" s="119"/>
      <c r="AH15" s="119"/>
      <c r="AI15" s="75" t="s">
        <v>77</v>
      </c>
      <c r="AJ15" s="119"/>
    </row>
    <row r="16" spans="2:36" ht="6.6" customHeight="1">
      <c r="B16" s="75"/>
      <c r="C16" s="25"/>
      <c r="D16" s="119"/>
      <c r="E16" s="75"/>
      <c r="F16" s="119"/>
      <c r="G16" s="119"/>
      <c r="H16" s="75"/>
      <c r="I16" s="119"/>
      <c r="J16" s="119"/>
      <c r="K16" s="75"/>
      <c r="L16" s="119"/>
      <c r="M16" s="119"/>
      <c r="N16" s="28"/>
      <c r="O16" s="119"/>
      <c r="P16" s="119"/>
      <c r="Q16" s="75"/>
      <c r="R16" s="119"/>
      <c r="S16" s="119"/>
      <c r="T16" s="75"/>
      <c r="U16" s="119"/>
      <c r="V16" s="119"/>
      <c r="W16" s="75"/>
      <c r="X16" s="119"/>
      <c r="Y16" s="119"/>
      <c r="Z16" s="28"/>
      <c r="AA16" s="119"/>
      <c r="AB16" s="119"/>
      <c r="AC16" s="75"/>
      <c r="AD16" s="119"/>
      <c r="AE16" s="119"/>
      <c r="AF16" s="75"/>
      <c r="AG16" s="119"/>
      <c r="AH16" s="119"/>
      <c r="AI16" s="75"/>
      <c r="AJ16" s="119"/>
    </row>
    <row r="17" spans="2:36" ht="10.5" customHeight="1">
      <c r="B17" s="75"/>
      <c r="C17" s="25">
        <v>1900</v>
      </c>
      <c r="D17" s="119"/>
      <c r="E17" s="75" t="s">
        <v>78</v>
      </c>
      <c r="F17" s="119"/>
      <c r="G17" s="119"/>
      <c r="H17" s="75" t="s">
        <v>78</v>
      </c>
      <c r="I17" s="119"/>
      <c r="J17" s="119"/>
      <c r="K17" s="75" t="s">
        <v>78</v>
      </c>
      <c r="L17" s="119"/>
      <c r="M17" s="119"/>
      <c r="N17" s="28">
        <v>823</v>
      </c>
      <c r="O17" s="119"/>
      <c r="P17" s="119"/>
      <c r="Q17" s="75" t="s">
        <v>78</v>
      </c>
      <c r="R17" s="119"/>
      <c r="S17" s="119"/>
      <c r="T17" s="75" t="s">
        <v>78</v>
      </c>
      <c r="U17" s="119"/>
      <c r="V17" s="119"/>
      <c r="W17" s="75" t="s">
        <v>78</v>
      </c>
      <c r="X17" s="119"/>
      <c r="Y17" s="119"/>
      <c r="Z17" s="28">
        <v>1459</v>
      </c>
      <c r="AA17" s="119"/>
      <c r="AB17" s="119"/>
      <c r="AC17" s="75" t="s">
        <v>77</v>
      </c>
      <c r="AD17" s="119"/>
      <c r="AE17" s="119"/>
      <c r="AF17" s="75" t="s">
        <v>78</v>
      </c>
      <c r="AG17" s="119"/>
      <c r="AH17" s="119"/>
      <c r="AI17" s="75" t="s">
        <v>77</v>
      </c>
      <c r="AJ17" s="119"/>
    </row>
    <row r="18" spans="2:36" ht="10.5" customHeight="1">
      <c r="B18" s="75"/>
      <c r="C18" s="25">
        <v>1910</v>
      </c>
      <c r="D18" s="119"/>
      <c r="E18" s="75" t="s">
        <v>78</v>
      </c>
      <c r="F18" s="119"/>
      <c r="G18" s="119"/>
      <c r="H18" s="75" t="s">
        <v>78</v>
      </c>
      <c r="I18" s="119"/>
      <c r="J18" s="119"/>
      <c r="K18" s="75" t="s">
        <v>78</v>
      </c>
      <c r="L18" s="119"/>
      <c r="M18" s="119"/>
      <c r="N18" s="28">
        <v>1576</v>
      </c>
      <c r="O18" s="119"/>
      <c r="P18" s="119"/>
      <c r="Q18" s="75" t="s">
        <v>78</v>
      </c>
      <c r="R18" s="119"/>
      <c r="S18" s="119"/>
      <c r="T18" s="75" t="s">
        <v>78</v>
      </c>
      <c r="U18" s="119"/>
      <c r="V18" s="119"/>
      <c r="W18" s="75" t="s">
        <v>78</v>
      </c>
      <c r="X18" s="119"/>
      <c r="Y18" s="119"/>
      <c r="Z18" s="28">
        <v>2492</v>
      </c>
      <c r="AA18" s="119"/>
      <c r="AB18" s="119"/>
      <c r="AC18" s="75" t="s">
        <v>77</v>
      </c>
      <c r="AD18" s="119"/>
      <c r="AE18" s="119"/>
      <c r="AF18" s="75" t="s">
        <v>78</v>
      </c>
      <c r="AG18" s="119"/>
      <c r="AH18" s="119"/>
      <c r="AI18" s="75" t="s">
        <v>77</v>
      </c>
      <c r="AJ18" s="119"/>
    </row>
    <row r="19" spans="2:36" ht="10.5" customHeight="1">
      <c r="B19" s="75"/>
      <c r="C19" s="25">
        <v>1920</v>
      </c>
      <c r="D19" s="119"/>
      <c r="E19" s="28">
        <v>14314</v>
      </c>
      <c r="F19" s="119"/>
      <c r="G19" s="119"/>
      <c r="H19" s="75" t="s">
        <v>78</v>
      </c>
      <c r="I19" s="119"/>
      <c r="J19" s="119"/>
      <c r="K19" s="75" t="s">
        <v>78</v>
      </c>
      <c r="L19" s="119"/>
      <c r="M19" s="119"/>
      <c r="N19" s="28">
        <v>2409</v>
      </c>
      <c r="O19" s="119"/>
      <c r="P19" s="119"/>
      <c r="Q19" s="75" t="s">
        <v>78</v>
      </c>
      <c r="R19" s="119"/>
      <c r="S19" s="119"/>
      <c r="T19" s="75" t="s">
        <v>78</v>
      </c>
      <c r="U19" s="119"/>
      <c r="V19" s="119"/>
      <c r="W19" s="75" t="s">
        <v>78</v>
      </c>
      <c r="X19" s="119"/>
      <c r="Y19" s="119"/>
      <c r="Z19" s="28">
        <v>3299</v>
      </c>
      <c r="AA19" s="119"/>
      <c r="AB19" s="119"/>
      <c r="AC19" s="75" t="s">
        <v>78</v>
      </c>
      <c r="AD19" s="119"/>
      <c r="AE19" s="119"/>
      <c r="AF19" s="28">
        <v>948</v>
      </c>
      <c r="AG19" s="119"/>
      <c r="AH19" s="119"/>
      <c r="AI19" s="75" t="s">
        <v>78</v>
      </c>
      <c r="AJ19" s="119"/>
    </row>
    <row r="20" spans="2:36" ht="10.5" customHeight="1">
      <c r="B20" s="75"/>
      <c r="C20" s="25">
        <v>1930</v>
      </c>
      <c r="D20" s="119"/>
      <c r="E20" s="28">
        <v>19182</v>
      </c>
      <c r="F20" s="23"/>
      <c r="G20" s="23"/>
      <c r="H20" s="75" t="s">
        <v>78</v>
      </c>
      <c r="I20" s="119"/>
      <c r="J20" s="119"/>
      <c r="K20" s="75" t="s">
        <v>78</v>
      </c>
      <c r="L20" s="119"/>
      <c r="M20" s="119"/>
      <c r="N20" s="28">
        <v>2436</v>
      </c>
      <c r="O20" s="119"/>
      <c r="P20" s="119"/>
      <c r="Q20" s="28">
        <v>226</v>
      </c>
      <c r="R20" s="119"/>
      <c r="S20" s="119"/>
      <c r="T20" s="75" t="s">
        <v>78</v>
      </c>
      <c r="U20" s="119"/>
      <c r="V20" s="119"/>
      <c r="W20" s="28">
        <v>4038</v>
      </c>
      <c r="X20" s="119"/>
      <c r="Y20" s="119"/>
      <c r="Z20" s="28">
        <v>4264</v>
      </c>
      <c r="AA20" s="119"/>
      <c r="AB20" s="119"/>
      <c r="AC20" s="75" t="s">
        <v>78</v>
      </c>
      <c r="AD20" s="119"/>
      <c r="AE20" s="119"/>
      <c r="AF20" s="28">
        <v>801</v>
      </c>
      <c r="AG20" s="119"/>
      <c r="AH20" s="119"/>
      <c r="AI20" s="75" t="s">
        <v>78</v>
      </c>
      <c r="AJ20" s="119"/>
    </row>
    <row r="21" spans="2:36" ht="10.5" customHeight="1">
      <c r="B21" s="75"/>
      <c r="C21" s="25">
        <v>1940</v>
      </c>
      <c r="D21" s="119"/>
      <c r="E21" s="28">
        <v>30023</v>
      </c>
      <c r="F21" s="23"/>
      <c r="G21" s="23"/>
      <c r="H21" s="75" t="s">
        <v>78</v>
      </c>
      <c r="I21" s="119"/>
      <c r="J21" s="119"/>
      <c r="K21" s="75" t="s">
        <v>78</v>
      </c>
      <c r="L21" s="119"/>
      <c r="M21" s="119"/>
      <c r="N21" s="28">
        <v>4495</v>
      </c>
      <c r="O21" s="119"/>
      <c r="P21" s="119"/>
      <c r="Q21" s="28">
        <v>406</v>
      </c>
      <c r="R21" s="119"/>
      <c r="S21" s="119"/>
      <c r="T21" s="75" t="s">
        <v>78</v>
      </c>
      <c r="U21" s="119"/>
      <c r="V21" s="119"/>
      <c r="W21" s="28">
        <v>6810</v>
      </c>
      <c r="X21" s="119"/>
      <c r="Y21" s="119"/>
      <c r="Z21" s="28">
        <v>7216</v>
      </c>
      <c r="AA21" s="119"/>
      <c r="AB21" s="119"/>
      <c r="AC21" s="28">
        <v>671</v>
      </c>
      <c r="AD21" s="119"/>
      <c r="AE21" s="119"/>
      <c r="AF21" s="28">
        <v>675</v>
      </c>
      <c r="AG21" s="119"/>
      <c r="AH21" s="119"/>
      <c r="AI21" s="75" t="s">
        <v>78</v>
      </c>
      <c r="AJ21" s="119"/>
    </row>
    <row r="22" spans="2:36" ht="6.6" customHeight="1">
      <c r="B22" s="75"/>
      <c r="C22" s="25"/>
      <c r="D22" s="119"/>
      <c r="E22" s="28"/>
      <c r="F22" s="23"/>
      <c r="G22" s="23"/>
      <c r="H22" s="75"/>
      <c r="I22" s="119"/>
      <c r="J22" s="119"/>
      <c r="K22" s="75"/>
      <c r="L22" s="119"/>
      <c r="M22" s="119"/>
      <c r="N22" s="28"/>
      <c r="O22" s="119"/>
      <c r="P22" s="119"/>
      <c r="Q22" s="28"/>
      <c r="R22" s="119"/>
      <c r="S22" s="119"/>
      <c r="T22" s="75"/>
      <c r="U22" s="119"/>
      <c r="V22" s="119"/>
      <c r="W22" s="28"/>
      <c r="X22" s="119"/>
      <c r="Y22" s="119"/>
      <c r="Z22" s="28"/>
      <c r="AA22" s="119"/>
      <c r="AB22" s="119"/>
      <c r="AC22" s="28"/>
      <c r="AD22" s="119"/>
      <c r="AE22" s="119"/>
      <c r="AF22" s="28"/>
      <c r="AG22" s="119"/>
      <c r="AH22" s="119"/>
      <c r="AI22" s="75"/>
      <c r="AJ22" s="119"/>
    </row>
    <row r="23" spans="2:36" ht="10.5" customHeight="1">
      <c r="B23" s="75"/>
      <c r="C23" s="25">
        <v>1950</v>
      </c>
      <c r="D23" s="119"/>
      <c r="E23" s="28">
        <v>33929</v>
      </c>
      <c r="F23" s="23"/>
      <c r="G23" s="23"/>
      <c r="H23" s="75" t="s">
        <v>78</v>
      </c>
      <c r="I23" s="119"/>
      <c r="J23" s="119"/>
      <c r="K23" s="75" t="s">
        <v>78</v>
      </c>
      <c r="L23" s="119"/>
      <c r="M23" s="119"/>
      <c r="N23" s="28">
        <v>6637</v>
      </c>
      <c r="O23" s="119"/>
      <c r="P23" s="119"/>
      <c r="Q23" s="28">
        <v>477</v>
      </c>
      <c r="R23" s="119"/>
      <c r="S23" s="119"/>
      <c r="T23" s="75" t="s">
        <v>78</v>
      </c>
      <c r="U23" s="119"/>
      <c r="V23" s="119"/>
      <c r="W23" s="28">
        <v>8163</v>
      </c>
      <c r="X23" s="119"/>
      <c r="Y23" s="119"/>
      <c r="Z23" s="28">
        <v>8640</v>
      </c>
      <c r="AA23" s="119"/>
      <c r="AB23" s="119"/>
      <c r="AC23" s="28">
        <v>1197</v>
      </c>
      <c r="AD23" s="119"/>
      <c r="AE23" s="119"/>
      <c r="AF23" s="28">
        <v>543</v>
      </c>
      <c r="AG23" s="119"/>
      <c r="AH23" s="119"/>
      <c r="AI23" s="28">
        <v>15574</v>
      </c>
      <c r="AJ23" s="119"/>
    </row>
    <row r="24" spans="2:36" ht="10.5" customHeight="1">
      <c r="B24" s="75"/>
      <c r="C24" s="25">
        <v>1960</v>
      </c>
      <c r="D24" s="119"/>
      <c r="E24" s="28">
        <v>38356</v>
      </c>
      <c r="F24" s="23"/>
      <c r="G24" s="23"/>
      <c r="H24" s="75" t="s">
        <v>78</v>
      </c>
      <c r="I24" s="119"/>
      <c r="J24" s="119"/>
      <c r="K24" s="75" t="s">
        <v>78</v>
      </c>
      <c r="L24" s="119"/>
      <c r="M24" s="119"/>
      <c r="N24" s="28">
        <v>5150</v>
      </c>
      <c r="O24" s="119"/>
      <c r="P24" s="119"/>
      <c r="Q24" s="28">
        <v>459</v>
      </c>
      <c r="R24" s="119"/>
      <c r="S24" s="119"/>
      <c r="T24" s="75" t="s">
        <v>78</v>
      </c>
      <c r="U24" s="119"/>
      <c r="V24" s="119"/>
      <c r="W24" s="28">
        <v>10469</v>
      </c>
      <c r="X24" s="119"/>
      <c r="Y24" s="119"/>
      <c r="Z24" s="28">
        <v>10928</v>
      </c>
      <c r="AA24" s="119"/>
      <c r="AB24" s="119"/>
      <c r="AC24" s="28">
        <v>1351</v>
      </c>
      <c r="AD24" s="119"/>
      <c r="AE24" s="119"/>
      <c r="AF24" s="28">
        <v>80</v>
      </c>
      <c r="AG24" s="119"/>
      <c r="AH24" s="119"/>
      <c r="AI24" s="28">
        <v>45292</v>
      </c>
      <c r="AJ24" s="119"/>
    </row>
    <row r="25" spans="2:36" ht="10.5" customHeight="1">
      <c r="B25" s="75"/>
      <c r="C25" s="25">
        <v>1970</v>
      </c>
      <c r="D25" s="119"/>
      <c r="E25" s="28">
        <v>47342</v>
      </c>
      <c r="F25" s="23"/>
      <c r="G25" s="23"/>
      <c r="H25" s="75" t="s">
        <v>78</v>
      </c>
      <c r="I25" s="23"/>
      <c r="J25" s="23"/>
      <c r="K25" s="75" t="s">
        <v>78</v>
      </c>
      <c r="L25" s="119"/>
      <c r="M25" s="119"/>
      <c r="N25" s="28">
        <v>4640</v>
      </c>
      <c r="O25" s="119"/>
      <c r="P25" s="119"/>
      <c r="Q25" s="28">
        <v>366</v>
      </c>
      <c r="R25" s="119"/>
      <c r="S25" s="119"/>
      <c r="T25" s="75" t="s">
        <v>78</v>
      </c>
      <c r="U25" s="119"/>
      <c r="V25" s="119"/>
      <c r="W25" s="28">
        <v>16945</v>
      </c>
      <c r="X25" s="119"/>
      <c r="Y25" s="119"/>
      <c r="Z25" s="28">
        <v>17311</v>
      </c>
      <c r="AA25" s="119"/>
      <c r="AB25" s="119"/>
      <c r="AC25" s="28">
        <v>1553</v>
      </c>
      <c r="AD25" s="119"/>
      <c r="AE25" s="119"/>
      <c r="AF25" s="28">
        <v>1</v>
      </c>
      <c r="AG25" s="119"/>
      <c r="AH25" s="119"/>
      <c r="AI25" s="28">
        <v>42403</v>
      </c>
      <c r="AJ25" s="119"/>
    </row>
    <row r="26" spans="2:36" ht="10.5" customHeight="1">
      <c r="B26" s="75"/>
      <c r="C26" s="25">
        <v>1980</v>
      </c>
      <c r="D26" s="119"/>
      <c r="E26" s="28">
        <v>47269</v>
      </c>
      <c r="F26" s="23"/>
      <c r="G26" s="23"/>
      <c r="H26" s="28">
        <v>1787</v>
      </c>
      <c r="I26" s="23"/>
      <c r="J26" s="23"/>
      <c r="K26" s="28">
        <v>5211</v>
      </c>
      <c r="L26" s="119"/>
      <c r="M26" s="119"/>
      <c r="N26" s="28">
        <v>6998</v>
      </c>
      <c r="O26" s="119"/>
      <c r="P26" s="119"/>
      <c r="Q26" s="28">
        <v>310</v>
      </c>
      <c r="R26" s="119"/>
      <c r="S26" s="119"/>
      <c r="T26" s="28">
        <v>1480</v>
      </c>
      <c r="U26" s="119"/>
      <c r="V26" s="119"/>
      <c r="W26" s="28">
        <v>14857</v>
      </c>
      <c r="X26" s="119"/>
      <c r="Y26" s="119"/>
      <c r="Z26" s="28">
        <v>16648</v>
      </c>
      <c r="AA26" s="119"/>
      <c r="AB26" s="119"/>
      <c r="AC26" s="28">
        <v>1609</v>
      </c>
      <c r="AD26" s="119"/>
      <c r="AE26" s="119"/>
      <c r="AF26" s="75" t="s">
        <v>77</v>
      </c>
      <c r="AG26" s="119"/>
      <c r="AH26" s="119"/>
      <c r="AI26" s="28">
        <v>38798</v>
      </c>
      <c r="AJ26" s="119"/>
    </row>
    <row r="27" spans="2:36" ht="10.5" customHeight="1">
      <c r="B27" s="75"/>
      <c r="C27" s="25">
        <v>1990</v>
      </c>
      <c r="D27" s="119"/>
      <c r="E27" s="28">
        <v>48887.003900000003</v>
      </c>
      <c r="F27" s="23"/>
      <c r="G27" s="23"/>
      <c r="H27" s="28">
        <v>1978</v>
      </c>
      <c r="I27" s="23"/>
      <c r="J27" s="23"/>
      <c r="K27" s="28">
        <v>4622</v>
      </c>
      <c r="L27" s="119"/>
      <c r="M27" s="119"/>
      <c r="N27" s="28">
        <v>6600</v>
      </c>
      <c r="O27" s="119"/>
      <c r="P27" s="119"/>
      <c r="Q27" s="28">
        <v>6</v>
      </c>
      <c r="R27" s="23">
        <v>13</v>
      </c>
      <c r="S27" s="23"/>
      <c r="T27" s="28">
        <v>2402</v>
      </c>
      <c r="U27" s="119"/>
      <c r="V27" s="119"/>
      <c r="W27" s="28">
        <v>16694</v>
      </c>
      <c r="X27" s="119"/>
      <c r="Y27" s="119"/>
      <c r="Z27" s="28">
        <v>19102</v>
      </c>
      <c r="AA27" s="119"/>
      <c r="AB27" s="119"/>
      <c r="AC27" s="28">
        <v>1669</v>
      </c>
      <c r="AD27" s="119"/>
      <c r="AE27" s="119"/>
      <c r="AF27" s="75" t="s">
        <v>77</v>
      </c>
      <c r="AG27" s="119"/>
      <c r="AH27" s="119"/>
      <c r="AI27" s="28">
        <v>38701</v>
      </c>
      <c r="AJ27" s="119"/>
    </row>
    <row r="28" spans="2:36" s="87" customFormat="1" ht="17.25" customHeight="1">
      <c r="B28" s="161"/>
      <c r="C28" s="171">
        <v>1991</v>
      </c>
      <c r="D28" s="169"/>
      <c r="E28" s="159">
        <v>51106.455161302219</v>
      </c>
      <c r="F28" s="166"/>
      <c r="G28" s="166"/>
      <c r="H28" s="159">
        <v>1914.1</v>
      </c>
      <c r="I28" s="166"/>
      <c r="J28" s="166"/>
      <c r="K28" s="159">
        <v>4070.8599999999992</v>
      </c>
      <c r="L28" s="169"/>
      <c r="M28" s="169"/>
      <c r="N28" s="159">
        <v>5984.9599999999991</v>
      </c>
      <c r="O28" s="169"/>
      <c r="P28" s="169"/>
      <c r="Q28" s="159">
        <v>6</v>
      </c>
      <c r="R28" s="169"/>
      <c r="S28" s="169"/>
      <c r="T28" s="159">
        <v>2446</v>
      </c>
      <c r="U28" s="169"/>
      <c r="V28" s="169"/>
      <c r="W28" s="159">
        <v>16364</v>
      </c>
      <c r="X28" s="169"/>
      <c r="Y28" s="169"/>
      <c r="Z28" s="159">
        <v>18816</v>
      </c>
      <c r="AA28" s="169"/>
      <c r="AB28" s="169"/>
      <c r="AC28" s="159">
        <v>1652</v>
      </c>
      <c r="AD28" s="169"/>
      <c r="AE28" s="169"/>
      <c r="AF28" s="161" t="s">
        <v>77</v>
      </c>
      <c r="AG28" s="169"/>
      <c r="AH28" s="169"/>
      <c r="AI28" s="159">
        <v>34283</v>
      </c>
      <c r="AJ28" s="169"/>
    </row>
    <row r="29" spans="2:36" ht="10.5" customHeight="1">
      <c r="B29" s="75"/>
      <c r="C29" s="25">
        <v>1992</v>
      </c>
      <c r="D29" s="119"/>
      <c r="E29" s="28">
        <v>51438.970767505241</v>
      </c>
      <c r="F29" s="23"/>
      <c r="G29" s="23"/>
      <c r="H29" s="28">
        <v>2020.7</v>
      </c>
      <c r="I29" s="23"/>
      <c r="J29" s="23"/>
      <c r="K29" s="28">
        <v>3942</v>
      </c>
      <c r="L29" s="23"/>
      <c r="M29" s="23"/>
      <c r="N29" s="28">
        <v>5962.7</v>
      </c>
      <c r="O29" s="119"/>
      <c r="P29" s="119"/>
      <c r="Q29" s="28">
        <v>6</v>
      </c>
      <c r="R29" s="119"/>
      <c r="S29" s="119"/>
      <c r="T29" s="28">
        <v>2724</v>
      </c>
      <c r="U29" s="119"/>
      <c r="V29" s="119"/>
      <c r="W29" s="28">
        <v>16472</v>
      </c>
      <c r="X29" s="119"/>
      <c r="Y29" s="119"/>
      <c r="Z29" s="28">
        <v>19202</v>
      </c>
      <c r="AA29" s="119"/>
      <c r="AB29" s="119"/>
      <c r="AC29" s="28">
        <v>1633</v>
      </c>
      <c r="AD29" s="119"/>
      <c r="AE29" s="119"/>
      <c r="AF29" s="75" t="s">
        <v>77</v>
      </c>
      <c r="AG29" s="119"/>
      <c r="AH29" s="119"/>
      <c r="AI29" s="28">
        <v>32799</v>
      </c>
      <c r="AJ29" s="119"/>
    </row>
    <row r="30" spans="2:36" ht="10.5" customHeight="1">
      <c r="B30" s="75"/>
      <c r="C30" s="25">
        <v>1993</v>
      </c>
      <c r="D30" s="119"/>
      <c r="E30" s="28">
        <v>50307.391039974857</v>
      </c>
      <c r="F30" s="23"/>
      <c r="G30" s="23"/>
      <c r="H30" s="28">
        <v>2097.9589990000004</v>
      </c>
      <c r="I30" s="23"/>
      <c r="J30" s="23"/>
      <c r="K30" s="28">
        <v>4323.9130000000005</v>
      </c>
      <c r="L30" s="23"/>
      <c r="M30" s="23"/>
      <c r="N30" s="28">
        <v>6421.8719990000009</v>
      </c>
      <c r="O30" s="119"/>
      <c r="P30" s="119"/>
      <c r="Q30" s="28">
        <v>7</v>
      </c>
      <c r="R30" s="119"/>
      <c r="S30" s="119"/>
      <c r="T30" s="28">
        <v>2374</v>
      </c>
      <c r="U30" s="119"/>
      <c r="V30" s="119"/>
      <c r="W30" s="28">
        <v>16197</v>
      </c>
      <c r="X30" s="119"/>
      <c r="Y30" s="119"/>
      <c r="Z30" s="28">
        <v>18578</v>
      </c>
      <c r="AA30" s="119"/>
      <c r="AB30" s="119"/>
      <c r="AC30" s="28">
        <v>1647</v>
      </c>
      <c r="AD30" s="119"/>
      <c r="AE30" s="119"/>
      <c r="AF30" s="75" t="s">
        <v>77</v>
      </c>
      <c r="AG30" s="119"/>
      <c r="AH30" s="119"/>
      <c r="AI30" s="28">
        <v>31531.05</v>
      </c>
      <c r="AJ30" s="119"/>
    </row>
    <row r="31" spans="2:36" ht="10.5" customHeight="1">
      <c r="B31" s="75"/>
      <c r="C31" s="25">
        <v>1994</v>
      </c>
      <c r="D31" s="119"/>
      <c r="E31" s="28">
        <v>52211.491632517274</v>
      </c>
      <c r="F31" s="23"/>
      <c r="G31" s="23"/>
      <c r="H31" s="28">
        <v>2127.2399</v>
      </c>
      <c r="I31" s="23"/>
      <c r="J31" s="23"/>
      <c r="K31" s="28">
        <v>4379.9149999999991</v>
      </c>
      <c r="L31" s="23"/>
      <c r="M31" s="23"/>
      <c r="N31" s="28">
        <v>6507.1548999999995</v>
      </c>
      <c r="O31" s="119"/>
      <c r="P31" s="119"/>
      <c r="Q31" s="28">
        <v>5</v>
      </c>
      <c r="R31" s="119"/>
      <c r="S31" s="119"/>
      <c r="T31" s="28">
        <v>2779</v>
      </c>
      <c r="U31" s="119"/>
      <c r="V31" s="119"/>
      <c r="W31" s="28">
        <v>16285</v>
      </c>
      <c r="X31" s="119"/>
      <c r="Y31" s="119"/>
      <c r="Z31" s="28">
        <v>19069</v>
      </c>
      <c r="AA31" s="119"/>
      <c r="AB31" s="119"/>
      <c r="AC31" s="28">
        <v>1733</v>
      </c>
      <c r="AD31" s="119"/>
      <c r="AE31" s="119"/>
      <c r="AF31" s="75" t="s">
        <v>77</v>
      </c>
      <c r="AG31" s="119"/>
      <c r="AH31" s="119"/>
      <c r="AI31" s="28">
        <v>29820.037333333334</v>
      </c>
      <c r="AJ31" s="119"/>
    </row>
    <row r="32" spans="2:36" ht="10.5" customHeight="1">
      <c r="B32" s="75"/>
      <c r="C32" s="25">
        <v>1995</v>
      </c>
      <c r="D32" s="119"/>
      <c r="E32" s="28">
        <v>51822.351362902984</v>
      </c>
      <c r="F32" s="23"/>
      <c r="G32" s="23"/>
      <c r="H32" s="28">
        <v>2241.4040569999993</v>
      </c>
      <c r="I32" s="23"/>
      <c r="J32" s="23"/>
      <c r="K32" s="28">
        <v>4591.3680000000004</v>
      </c>
      <c r="L32" s="23"/>
      <c r="M32" s="23"/>
      <c r="N32" s="28">
        <v>6832.7720570000001</v>
      </c>
      <c r="O32" s="125"/>
      <c r="P32" s="125"/>
      <c r="Q32" s="28">
        <v>6</v>
      </c>
      <c r="R32" s="119"/>
      <c r="S32" s="119"/>
      <c r="T32" s="28">
        <v>2585</v>
      </c>
      <c r="U32" s="119"/>
      <c r="V32" s="119"/>
      <c r="W32" s="28">
        <v>16800</v>
      </c>
      <c r="X32" s="119"/>
      <c r="Y32" s="119"/>
      <c r="Z32" s="28">
        <v>19391</v>
      </c>
      <c r="AA32" s="119"/>
      <c r="AB32" s="119"/>
      <c r="AC32" s="28">
        <v>1736</v>
      </c>
      <c r="AD32" s="119"/>
      <c r="AE32" s="119"/>
      <c r="AF32" s="75" t="s">
        <v>77</v>
      </c>
      <c r="AG32" s="119"/>
      <c r="AH32" s="119"/>
      <c r="AI32" s="28">
        <v>29046.32</v>
      </c>
      <c r="AJ32" s="119"/>
    </row>
    <row r="33" spans="2:36" s="87" customFormat="1" ht="17.25" customHeight="1">
      <c r="B33" s="161"/>
      <c r="C33" s="171">
        <v>1996</v>
      </c>
      <c r="D33" s="169"/>
      <c r="E33" s="159">
        <v>50844.169097457634</v>
      </c>
      <c r="F33" s="166"/>
      <c r="G33" s="166"/>
      <c r="H33" s="159">
        <v>2339.3624520000003</v>
      </c>
      <c r="I33" s="166"/>
      <c r="J33" s="166"/>
      <c r="K33" s="159">
        <v>4614</v>
      </c>
      <c r="L33" s="166"/>
      <c r="M33" s="166"/>
      <c r="N33" s="159">
        <v>6953.3624520000003</v>
      </c>
      <c r="O33" s="172"/>
      <c r="P33" s="172"/>
      <c r="Q33" s="159">
        <v>5</v>
      </c>
      <c r="R33" s="169"/>
      <c r="S33" s="169"/>
      <c r="T33" s="159">
        <v>2463</v>
      </c>
      <c r="U33" s="166"/>
      <c r="V33" s="166"/>
      <c r="W33" s="159">
        <v>16378</v>
      </c>
      <c r="X33" s="169"/>
      <c r="Y33" s="169"/>
      <c r="Z33" s="159">
        <v>18846</v>
      </c>
      <c r="AA33" s="169"/>
      <c r="AB33" s="169"/>
      <c r="AC33" s="159">
        <v>1800</v>
      </c>
      <c r="AD33" s="169"/>
      <c r="AE33" s="169"/>
      <c r="AF33" s="161" t="s">
        <v>77</v>
      </c>
      <c r="AG33" s="169"/>
      <c r="AH33" s="169"/>
      <c r="AI33" s="159">
        <v>26570.35</v>
      </c>
      <c r="AJ33" s="169"/>
    </row>
    <row r="34" spans="2:36" ht="10.5" customHeight="1">
      <c r="B34" s="75"/>
      <c r="C34" s="25">
        <v>1997</v>
      </c>
      <c r="D34" s="119"/>
      <c r="E34" s="28">
        <v>51313.019908741095</v>
      </c>
      <c r="F34" s="23"/>
      <c r="G34" s="23"/>
      <c r="H34" s="28">
        <v>2558.2794319999994</v>
      </c>
      <c r="I34" s="23"/>
      <c r="J34" s="23"/>
      <c r="K34" s="28">
        <v>4463.53</v>
      </c>
      <c r="L34" s="23"/>
      <c r="M34" s="23"/>
      <c r="N34" s="28">
        <v>7021.8094319999991</v>
      </c>
      <c r="O34" s="125"/>
      <c r="P34" s="125"/>
      <c r="Q34" s="28">
        <v>6</v>
      </c>
      <c r="R34" s="119"/>
      <c r="S34" s="119"/>
      <c r="T34" s="28">
        <v>2466</v>
      </c>
      <c r="U34" s="23"/>
      <c r="V34" s="23"/>
      <c r="W34" s="28">
        <v>16709</v>
      </c>
      <c r="X34" s="23"/>
      <c r="Y34" s="23"/>
      <c r="Z34" s="28">
        <v>19181</v>
      </c>
      <c r="AA34" s="119"/>
      <c r="AB34" s="119"/>
      <c r="AC34" s="28">
        <v>1722</v>
      </c>
      <c r="AD34" s="119"/>
      <c r="AE34" s="119"/>
      <c r="AF34" s="75" t="s">
        <v>77</v>
      </c>
      <c r="AG34" s="119"/>
      <c r="AH34" s="119"/>
      <c r="AI34" s="28">
        <v>25766.598629032262</v>
      </c>
      <c r="AJ34" s="119"/>
    </row>
    <row r="35" spans="2:36" ht="10.5" customHeight="1">
      <c r="B35" s="75"/>
      <c r="C35" s="25">
        <v>1998</v>
      </c>
      <c r="D35" s="119"/>
      <c r="E35" s="28">
        <v>51061.611028672996</v>
      </c>
      <c r="F35" s="23"/>
      <c r="G35" s="23"/>
      <c r="H35" s="28">
        <v>2650.6099740999994</v>
      </c>
      <c r="I35" s="23"/>
      <c r="J35" s="23"/>
      <c r="K35" s="28">
        <v>4559.8900000000012</v>
      </c>
      <c r="L35" s="23"/>
      <c r="M35" s="23"/>
      <c r="N35" s="28">
        <v>7210.4999741000001</v>
      </c>
      <c r="O35" s="125"/>
      <c r="P35" s="125"/>
      <c r="Q35" s="28">
        <v>5</v>
      </c>
      <c r="R35" s="119"/>
      <c r="S35" s="119"/>
      <c r="T35" s="28">
        <v>2538</v>
      </c>
      <c r="U35" s="23"/>
      <c r="V35" s="23"/>
      <c r="W35" s="28">
        <v>16620</v>
      </c>
      <c r="X35" s="23"/>
      <c r="Y35" s="23"/>
      <c r="Z35" s="28">
        <v>19163</v>
      </c>
      <c r="AA35" s="119"/>
      <c r="AB35" s="119"/>
      <c r="AC35" s="28">
        <v>1736</v>
      </c>
      <c r="AD35" s="119"/>
      <c r="AE35" s="119"/>
      <c r="AF35" s="75" t="s">
        <v>77</v>
      </c>
      <c r="AG35" s="119"/>
      <c r="AH35" s="119"/>
      <c r="AI35" s="28">
        <v>27256.38058064516</v>
      </c>
      <c r="AJ35" s="119"/>
    </row>
    <row r="36" spans="2:36" ht="10.5" customHeight="1">
      <c r="B36" s="75"/>
      <c r="C36" s="25">
        <v>1999</v>
      </c>
      <c r="D36" s="119"/>
      <c r="E36" s="28">
        <v>51361.983040719693</v>
      </c>
      <c r="F36" s="23"/>
      <c r="G36" s="23"/>
      <c r="H36" s="28">
        <v>2811.8933329999995</v>
      </c>
      <c r="I36" s="23"/>
      <c r="J36" s="23"/>
      <c r="K36" s="28">
        <v>4889</v>
      </c>
      <c r="L36" s="23"/>
      <c r="M36" s="23"/>
      <c r="N36" s="28">
        <v>7700.893333</v>
      </c>
      <c r="O36" s="125"/>
      <c r="P36" s="125"/>
      <c r="Q36" s="28">
        <v>5</v>
      </c>
      <c r="R36" s="119"/>
      <c r="S36" s="119"/>
      <c r="T36" s="28">
        <v>2597</v>
      </c>
      <c r="U36" s="23"/>
      <c r="V36" s="23"/>
      <c r="W36" s="28">
        <v>16488</v>
      </c>
      <c r="X36" s="23"/>
      <c r="Y36" s="23"/>
      <c r="Z36" s="28">
        <v>19090</v>
      </c>
      <c r="AA36" s="119"/>
      <c r="AB36" s="119"/>
      <c r="AC36" s="28">
        <v>1746</v>
      </c>
      <c r="AD36" s="119"/>
      <c r="AE36" s="119"/>
      <c r="AF36" s="75" t="s">
        <v>77</v>
      </c>
      <c r="AG36" s="119"/>
      <c r="AH36" s="119"/>
      <c r="AI36" s="28">
        <v>29231.720967741934</v>
      </c>
      <c r="AJ36" s="119"/>
    </row>
    <row r="37" spans="2:36" ht="10.5" customHeight="1">
      <c r="B37" s="75"/>
      <c r="C37" s="25">
        <v>2000</v>
      </c>
      <c r="D37" s="119"/>
      <c r="E37" s="28">
        <v>54940.175542635654</v>
      </c>
      <c r="F37" s="23"/>
      <c r="G37" s="23"/>
      <c r="H37" s="28">
        <v>3009.2469999999998</v>
      </c>
      <c r="I37" s="23"/>
      <c r="J37" s="23"/>
      <c r="K37" s="28">
        <v>5233.9475000000002</v>
      </c>
      <c r="L37" s="23"/>
      <c r="M37" s="23"/>
      <c r="N37" s="28">
        <v>8243.1944999999996</v>
      </c>
      <c r="O37" s="125"/>
      <c r="P37" s="125"/>
      <c r="Q37" s="28">
        <v>5</v>
      </c>
      <c r="R37" s="23">
        <v>14</v>
      </c>
      <c r="S37" s="23"/>
      <c r="T37" s="28">
        <v>2682</v>
      </c>
      <c r="U37" s="23"/>
      <c r="V37" s="23"/>
      <c r="W37" s="28">
        <v>17401</v>
      </c>
      <c r="X37" s="23"/>
      <c r="Y37" s="23"/>
      <c r="Z37" s="28">
        <v>20088</v>
      </c>
      <c r="AA37" s="119"/>
      <c r="AB37" s="119"/>
      <c r="AC37" s="28">
        <v>1917.9906290322579</v>
      </c>
      <c r="AD37" s="119"/>
      <c r="AE37" s="119"/>
      <c r="AF37" s="75" t="s">
        <v>77</v>
      </c>
      <c r="AG37" s="119"/>
      <c r="AH37" s="119"/>
      <c r="AI37" s="28">
        <v>29536</v>
      </c>
      <c r="AJ37" s="119"/>
    </row>
    <row r="38" spans="2:36" s="87" customFormat="1" ht="17.25" customHeight="1">
      <c r="B38" s="161"/>
      <c r="C38" s="171">
        <v>2001</v>
      </c>
      <c r="D38" s="169"/>
      <c r="E38" s="159">
        <v>55555.344999999994</v>
      </c>
      <c r="F38" s="166"/>
      <c r="G38" s="166"/>
      <c r="H38" s="159">
        <v>3191.2594999999997</v>
      </c>
      <c r="I38" s="166"/>
      <c r="J38" s="166"/>
      <c r="K38" s="159">
        <v>5540.5</v>
      </c>
      <c r="L38" s="166"/>
      <c r="M38" s="166"/>
      <c r="N38" s="159">
        <v>8731.7595000000001</v>
      </c>
      <c r="O38" s="172"/>
      <c r="P38" s="172"/>
      <c r="Q38" s="161" t="s">
        <v>77</v>
      </c>
      <c r="R38" s="169"/>
      <c r="S38" s="169"/>
      <c r="T38" s="159">
        <v>2458</v>
      </c>
      <c r="U38" s="166"/>
      <c r="V38" s="166"/>
      <c r="W38" s="173">
        <v>17089</v>
      </c>
      <c r="X38" s="166"/>
      <c r="Y38" s="166"/>
      <c r="Z38" s="173">
        <v>19547</v>
      </c>
      <c r="AA38" s="166"/>
      <c r="AB38" s="166"/>
      <c r="AC38" s="159">
        <v>1971.905</v>
      </c>
      <c r="AD38" s="169"/>
      <c r="AE38" s="169"/>
      <c r="AF38" s="161" t="s">
        <v>77</v>
      </c>
      <c r="AG38" s="169"/>
      <c r="AH38" s="169"/>
      <c r="AI38" s="159">
        <v>28142</v>
      </c>
      <c r="AJ38" s="169"/>
    </row>
    <row r="39" spans="2:36" ht="10.5" customHeight="1">
      <c r="B39" s="75"/>
      <c r="C39" s="25">
        <v>2002</v>
      </c>
      <c r="D39" s="119"/>
      <c r="E39" s="28">
        <v>56103.844999999994</v>
      </c>
      <c r="F39" s="23"/>
      <c r="G39" s="23"/>
      <c r="H39" s="28">
        <v>3323.6</v>
      </c>
      <c r="I39" s="23"/>
      <c r="J39" s="23"/>
      <c r="K39" s="28">
        <v>5550.6</v>
      </c>
      <c r="L39" s="23"/>
      <c r="M39" s="23"/>
      <c r="N39" s="28">
        <v>8874.2000000000007</v>
      </c>
      <c r="O39" s="125"/>
      <c r="P39" s="125"/>
      <c r="Q39" s="75" t="s">
        <v>77</v>
      </c>
      <c r="R39" s="119"/>
      <c r="S39" s="119"/>
      <c r="T39" s="28">
        <v>2781</v>
      </c>
      <c r="U39" s="23"/>
      <c r="V39" s="23"/>
      <c r="W39" s="28">
        <v>16416</v>
      </c>
      <c r="X39" s="23">
        <v>15</v>
      </c>
      <c r="Y39" s="23"/>
      <c r="Z39" s="28">
        <v>19197</v>
      </c>
      <c r="AA39" s="23">
        <v>15</v>
      </c>
      <c r="AB39" s="23"/>
      <c r="AC39" s="28">
        <v>1974</v>
      </c>
      <c r="AD39" s="119"/>
      <c r="AE39" s="119"/>
      <c r="AF39" s="75" t="s">
        <v>77</v>
      </c>
      <c r="AG39" s="119"/>
      <c r="AH39" s="119"/>
      <c r="AI39" s="28">
        <v>27100.688000000002</v>
      </c>
      <c r="AJ39" s="119"/>
    </row>
    <row r="40" spans="2:36" ht="10.5" customHeight="1">
      <c r="B40" s="75"/>
      <c r="C40" s="25">
        <v>2003</v>
      </c>
      <c r="D40" s="119"/>
      <c r="E40" s="28">
        <v>56970.108651686278</v>
      </c>
      <c r="F40" s="23"/>
      <c r="G40" s="23"/>
      <c r="H40" s="28">
        <v>3397.9959653326532</v>
      </c>
      <c r="I40" s="23"/>
      <c r="J40" s="23"/>
      <c r="K40" s="28">
        <v>5435.6</v>
      </c>
      <c r="L40" s="23"/>
      <c r="M40" s="23"/>
      <c r="N40" s="28">
        <v>8833.5959653326536</v>
      </c>
      <c r="O40" s="125"/>
      <c r="P40" s="125"/>
      <c r="Q40" s="75" t="s">
        <v>77</v>
      </c>
      <c r="R40" s="119"/>
      <c r="S40" s="119"/>
      <c r="T40" s="28">
        <v>2974</v>
      </c>
      <c r="U40" s="23"/>
      <c r="V40" s="23"/>
      <c r="W40" s="28">
        <v>17196</v>
      </c>
      <c r="X40" s="23"/>
      <c r="Y40" s="23"/>
      <c r="Z40" s="28">
        <v>20170</v>
      </c>
      <c r="AA40" s="23"/>
      <c r="AB40" s="23"/>
      <c r="AC40" s="28">
        <v>2018.1</v>
      </c>
      <c r="AD40" s="119"/>
      <c r="AE40" s="119"/>
      <c r="AF40" s="75" t="s">
        <v>77</v>
      </c>
      <c r="AG40" s="119"/>
      <c r="AH40" s="119"/>
      <c r="AI40" s="28">
        <v>26673.06109090909</v>
      </c>
      <c r="AJ40" s="125"/>
    </row>
    <row r="41" spans="2:36" ht="10.5" customHeight="1">
      <c r="B41" s="75"/>
      <c r="C41" s="25">
        <v>2004</v>
      </c>
      <c r="D41" s="119"/>
      <c r="E41" s="28">
        <v>58769.723077999995</v>
      </c>
      <c r="F41" s="23"/>
      <c r="G41" s="23"/>
      <c r="H41" s="28">
        <v>3445.6951726784346</v>
      </c>
      <c r="I41" s="23"/>
      <c r="J41" s="23"/>
      <c r="K41" s="28">
        <v>5212.13</v>
      </c>
      <c r="L41" s="23"/>
      <c r="M41" s="23"/>
      <c r="N41" s="28">
        <v>8657.8251726784347</v>
      </c>
      <c r="O41" s="125"/>
      <c r="P41" s="125"/>
      <c r="Q41" s="75" t="s">
        <v>77</v>
      </c>
      <c r="R41" s="119"/>
      <c r="S41" s="119"/>
      <c r="T41" s="28">
        <v>3319</v>
      </c>
      <c r="U41" s="23"/>
      <c r="V41" s="23"/>
      <c r="W41" s="28">
        <v>17537</v>
      </c>
      <c r="X41" s="23"/>
      <c r="Y41" s="23"/>
      <c r="Z41" s="28">
        <v>20856</v>
      </c>
      <c r="AA41" s="23"/>
      <c r="AB41" s="23"/>
      <c r="AC41" s="28">
        <v>2004.595</v>
      </c>
      <c r="AD41" s="119"/>
      <c r="AE41" s="119"/>
      <c r="AF41" s="75" t="s">
        <v>77</v>
      </c>
      <c r="AG41" s="119"/>
      <c r="AH41" s="119"/>
      <c r="AI41" s="28">
        <v>26369.686909090909</v>
      </c>
      <c r="AJ41" s="125"/>
    </row>
    <row r="42" spans="2:36" ht="10.5" customHeight="1">
      <c r="B42" s="75"/>
      <c r="C42" s="25">
        <v>2005</v>
      </c>
      <c r="D42" s="119"/>
      <c r="E42" s="28">
        <v>59691.611122581875</v>
      </c>
      <c r="F42" s="23"/>
      <c r="G42" s="23"/>
      <c r="H42" s="28">
        <v>3723.4940000000001</v>
      </c>
      <c r="I42" s="23"/>
      <c r="J42" s="23"/>
      <c r="K42" s="28">
        <v>5212.5639999999985</v>
      </c>
      <c r="L42" s="23"/>
      <c r="M42" s="23"/>
      <c r="N42" s="28">
        <v>8936.0579999999991</v>
      </c>
      <c r="O42" s="125"/>
      <c r="P42" s="125"/>
      <c r="Q42" s="75" t="s">
        <v>77</v>
      </c>
      <c r="R42" s="119"/>
      <c r="S42" s="119"/>
      <c r="T42" s="28">
        <v>3747.9111754918304</v>
      </c>
      <c r="U42" s="23"/>
      <c r="V42" s="23"/>
      <c r="W42" s="28">
        <v>17926.975502000001</v>
      </c>
      <c r="X42" s="23"/>
      <c r="Y42" s="23"/>
      <c r="Z42" s="28">
        <v>21674.886677491828</v>
      </c>
      <c r="AA42" s="23"/>
      <c r="AB42" s="23"/>
      <c r="AC42" s="28">
        <v>2039.133</v>
      </c>
      <c r="AD42" s="119"/>
      <c r="AE42" s="119"/>
      <c r="AF42" s="75" t="s">
        <v>77</v>
      </c>
      <c r="AG42" s="119"/>
      <c r="AH42" s="119"/>
      <c r="AI42" s="28">
        <v>25318.610230769231</v>
      </c>
      <c r="AJ42" s="119"/>
    </row>
    <row r="43" spans="2:36" s="87" customFormat="1" ht="17.25" customHeight="1">
      <c r="B43" s="161"/>
      <c r="C43" s="171">
        <v>2006</v>
      </c>
      <c r="D43" s="169"/>
      <c r="E43" s="159">
        <v>62752.557536</v>
      </c>
      <c r="F43" s="166"/>
      <c r="G43" s="166"/>
      <c r="H43" s="159">
        <v>3936.4919629629626</v>
      </c>
      <c r="I43" s="166"/>
      <c r="J43" s="166"/>
      <c r="K43" s="159">
        <v>5680.3498421052645</v>
      </c>
      <c r="L43" s="166"/>
      <c r="M43" s="166"/>
      <c r="N43" s="159">
        <v>9616.8418050682267</v>
      </c>
      <c r="O43" s="172"/>
      <c r="P43" s="172"/>
      <c r="Q43" s="161" t="s">
        <v>77</v>
      </c>
      <c r="R43" s="169"/>
      <c r="S43" s="169"/>
      <c r="T43" s="159">
        <v>4144.7763348000008</v>
      </c>
      <c r="U43" s="166"/>
      <c r="V43" s="166"/>
      <c r="W43" s="159">
        <v>18126.656261299213</v>
      </c>
      <c r="X43" s="166"/>
      <c r="Y43" s="166"/>
      <c r="Z43" s="159">
        <v>22271.43259609921</v>
      </c>
      <c r="AA43" s="166"/>
      <c r="AB43" s="166"/>
      <c r="AC43" s="159">
        <v>2141.7190000000001</v>
      </c>
      <c r="AD43" s="169"/>
      <c r="AE43" s="169"/>
      <c r="AF43" s="161" t="s">
        <v>77</v>
      </c>
      <c r="AG43" s="169"/>
      <c r="AH43" s="169"/>
      <c r="AI43" s="159">
        <v>26829</v>
      </c>
      <c r="AJ43" s="169"/>
    </row>
    <row r="44" spans="2:36" ht="10.5" customHeight="1">
      <c r="B44" s="75"/>
      <c r="C44" s="25">
        <v>2007</v>
      </c>
      <c r="D44" s="119"/>
      <c r="E44" s="28">
        <v>65140.058709000004</v>
      </c>
      <c r="F44" s="23"/>
      <c r="G44" s="23"/>
      <c r="H44" s="28">
        <v>4233.1000000000004</v>
      </c>
      <c r="I44" s="23"/>
      <c r="J44" s="23"/>
      <c r="K44" s="28">
        <v>6027.4410000000007</v>
      </c>
      <c r="L44" s="23"/>
      <c r="M44" s="23"/>
      <c r="N44" s="28">
        <v>10260.541000000001</v>
      </c>
      <c r="O44" s="125"/>
      <c r="P44" s="125"/>
      <c r="Q44" s="75" t="s">
        <v>77</v>
      </c>
      <c r="R44" s="119"/>
      <c r="S44" s="119"/>
      <c r="T44" s="28">
        <v>4669.7584529984942</v>
      </c>
      <c r="U44" s="23"/>
      <c r="V44" s="23"/>
      <c r="W44" s="28">
        <v>18580.549650431029</v>
      </c>
      <c r="X44" s="23"/>
      <c r="Y44" s="23"/>
      <c r="Z44" s="28">
        <v>23250.308103429514</v>
      </c>
      <c r="AA44" s="23"/>
      <c r="AB44" s="23"/>
      <c r="AC44" s="28">
        <v>2114.9490000000001</v>
      </c>
      <c r="AD44" s="119"/>
      <c r="AE44" s="119"/>
      <c r="AF44" s="75" t="s">
        <v>77</v>
      </c>
      <c r="AG44" s="119"/>
      <c r="AH44" s="119"/>
      <c r="AI44" s="28">
        <v>25754.843999999997</v>
      </c>
      <c r="AJ44" s="119"/>
    </row>
    <row r="45" spans="2:36" ht="10.5" customHeight="1">
      <c r="B45" s="75"/>
      <c r="C45" s="25">
        <v>2008</v>
      </c>
      <c r="D45" s="119"/>
      <c r="E45" s="28">
        <v>66026.612065604655</v>
      </c>
      <c r="F45" s="23"/>
      <c r="G45" s="23"/>
      <c r="H45" s="28">
        <v>4664.660141450252</v>
      </c>
      <c r="I45" s="23"/>
      <c r="J45" s="23"/>
      <c r="K45" s="28">
        <v>6481.5608585497494</v>
      </c>
      <c r="L45" s="23"/>
      <c r="M45" s="23"/>
      <c r="N45" s="28">
        <v>11146.221000000001</v>
      </c>
      <c r="O45" s="125"/>
      <c r="P45" s="125"/>
      <c r="Q45" s="75" t="s">
        <v>77</v>
      </c>
      <c r="R45" s="119"/>
      <c r="S45" s="119"/>
      <c r="T45" s="115">
        <v>5089.2164257336308</v>
      </c>
      <c r="U45" s="23"/>
      <c r="V45" s="23"/>
      <c r="W45" s="28">
        <v>17834.55585847301</v>
      </c>
      <c r="X45" s="23"/>
      <c r="Y45" s="23"/>
      <c r="Z45" s="115">
        <v>22923.772284206636</v>
      </c>
      <c r="AA45" s="23"/>
      <c r="AB45" s="23"/>
      <c r="AC45" s="28">
        <v>2229.2170000000001</v>
      </c>
      <c r="AD45" s="119"/>
      <c r="AE45" s="119"/>
      <c r="AF45" s="75" t="s">
        <v>77</v>
      </c>
      <c r="AG45" s="119"/>
      <c r="AH45" s="119"/>
      <c r="AI45" s="28">
        <v>27417.7</v>
      </c>
      <c r="AJ45" s="119"/>
    </row>
    <row r="46" spans="2:36" ht="10.5" customHeight="1">
      <c r="B46" s="75"/>
      <c r="C46" s="25">
        <v>2009</v>
      </c>
      <c r="D46" s="119"/>
      <c r="E46" s="28">
        <v>59596.864950647003</v>
      </c>
      <c r="F46" s="23"/>
      <c r="G46" s="23"/>
      <c r="H46" s="28">
        <v>4876.8581458172803</v>
      </c>
      <c r="I46" s="23"/>
      <c r="J46" s="23"/>
      <c r="K46" s="28">
        <v>6444.4753421827181</v>
      </c>
      <c r="L46" s="23"/>
      <c r="M46" s="23"/>
      <c r="N46" s="28">
        <v>11321.333487999998</v>
      </c>
      <c r="O46" s="125"/>
      <c r="P46" s="125"/>
      <c r="Q46" s="75" t="s">
        <v>77</v>
      </c>
      <c r="R46" s="119"/>
      <c r="S46" s="119"/>
      <c r="T46" s="28">
        <v>5593.943779107105</v>
      </c>
      <c r="U46" s="23">
        <v>17</v>
      </c>
      <c r="V46" s="23"/>
      <c r="W46" s="28">
        <v>14794.838904308561</v>
      </c>
      <c r="X46" s="23"/>
      <c r="Y46" s="23"/>
      <c r="Z46" s="28">
        <v>20388.782683415666</v>
      </c>
      <c r="AA46" s="23">
        <v>17</v>
      </c>
      <c r="AB46" s="23"/>
      <c r="AC46" s="28">
        <v>2124.7109999999998</v>
      </c>
      <c r="AD46" s="119"/>
      <c r="AE46" s="119"/>
      <c r="AF46" s="75" t="s">
        <v>77</v>
      </c>
      <c r="AG46" s="119"/>
      <c r="AH46" s="119"/>
      <c r="AI46" s="28">
        <v>24487.954476190476</v>
      </c>
      <c r="AJ46" s="119"/>
    </row>
    <row r="47" spans="2:36" ht="10.5" customHeight="1">
      <c r="B47" s="75"/>
      <c r="C47" s="25">
        <v>2010</v>
      </c>
      <c r="D47" s="119"/>
      <c r="E47" s="28">
        <v>65598.920030827692</v>
      </c>
      <c r="F47" s="23"/>
      <c r="G47" s="23"/>
      <c r="H47" s="28">
        <v>5047.079999999999</v>
      </c>
      <c r="I47" s="23"/>
      <c r="J47" s="23"/>
      <c r="K47" s="28">
        <v>6108.3396630000016</v>
      </c>
      <c r="L47" s="23"/>
      <c r="M47" s="23"/>
      <c r="N47" s="28">
        <v>11155.419663000001</v>
      </c>
      <c r="O47" s="125"/>
      <c r="P47" s="125"/>
      <c r="Q47" s="75" t="s">
        <v>77</v>
      </c>
      <c r="R47" s="119"/>
      <c r="S47" s="119"/>
      <c r="T47" s="28">
        <v>5954.785784192487</v>
      </c>
      <c r="U47" s="23"/>
      <c r="V47" s="23"/>
      <c r="W47" s="28">
        <v>17508.993762671093</v>
      </c>
      <c r="X47" s="23"/>
      <c r="Y47" s="23"/>
      <c r="Z47" s="28">
        <v>23463.779546863581</v>
      </c>
      <c r="AA47" s="23"/>
      <c r="AB47" s="23"/>
      <c r="AC47" s="28">
        <v>2098.2600000000002</v>
      </c>
      <c r="AD47" s="119"/>
      <c r="AE47" s="119"/>
      <c r="AF47" s="75" t="s">
        <v>77</v>
      </c>
      <c r="AG47" s="119"/>
      <c r="AH47" s="119"/>
      <c r="AI47" s="28">
        <v>23685.260118360813</v>
      </c>
      <c r="AJ47" s="119"/>
    </row>
    <row r="48" spans="2:36" s="87" customFormat="1" ht="17.25" customHeight="1">
      <c r="B48" s="161"/>
      <c r="C48" s="171">
        <v>2011</v>
      </c>
      <c r="D48" s="169"/>
      <c r="E48" s="159">
        <v>67040.977075208895</v>
      </c>
      <c r="F48" s="166"/>
      <c r="G48" s="166"/>
      <c r="H48" s="159">
        <v>5184.3911050142588</v>
      </c>
      <c r="I48" s="166"/>
      <c r="J48" s="166"/>
      <c r="K48" s="159">
        <v>6193.9852390000042</v>
      </c>
      <c r="L48" s="166"/>
      <c r="M48" s="166"/>
      <c r="N48" s="159">
        <v>11378.376344014263</v>
      </c>
      <c r="O48" s="172"/>
      <c r="P48" s="172"/>
      <c r="Q48" s="161" t="s">
        <v>77</v>
      </c>
      <c r="R48" s="169"/>
      <c r="S48" s="169"/>
      <c r="T48" s="159">
        <v>5939.9356581101601</v>
      </c>
      <c r="U48" s="166"/>
      <c r="V48" s="166"/>
      <c r="W48" s="159">
        <v>16924.378016239338</v>
      </c>
      <c r="X48" s="166"/>
      <c r="Y48" s="166"/>
      <c r="Z48" s="159">
        <v>22864.313674349502</v>
      </c>
      <c r="AA48" s="166"/>
      <c r="AB48" s="166"/>
      <c r="AC48" s="159">
        <v>2188.808</v>
      </c>
      <c r="AD48" s="169"/>
      <c r="AE48" s="169"/>
      <c r="AF48" s="161" t="s">
        <v>77</v>
      </c>
      <c r="AG48" s="169"/>
      <c r="AH48" s="169"/>
      <c r="AI48" s="159">
        <v>23290.3</v>
      </c>
      <c r="AJ48" s="169"/>
    </row>
    <row r="49" spans="2:40" s="87" customFormat="1" ht="10.5" customHeight="1">
      <c r="B49" s="161"/>
      <c r="C49" s="171">
        <v>2012</v>
      </c>
      <c r="D49" s="169"/>
      <c r="E49" s="159">
        <v>64910.813949424111</v>
      </c>
      <c r="F49" s="166"/>
      <c r="G49" s="166"/>
      <c r="H49" s="159">
        <v>5535.4518477769479</v>
      </c>
      <c r="I49" s="166"/>
      <c r="J49" s="166"/>
      <c r="K49" s="159">
        <v>6256.6861584135977</v>
      </c>
      <c r="L49" s="166"/>
      <c r="M49" s="166"/>
      <c r="N49" s="159">
        <v>11792.138006190546</v>
      </c>
      <c r="O49" s="172"/>
      <c r="P49" s="172"/>
      <c r="Q49" s="161" t="s">
        <v>77</v>
      </c>
      <c r="R49" s="169"/>
      <c r="S49" s="169"/>
      <c r="T49" s="159">
        <v>5375.1636941101078</v>
      </c>
      <c r="U49" s="166"/>
      <c r="V49" s="166"/>
      <c r="W49" s="159">
        <v>16667.475956644252</v>
      </c>
      <c r="X49" s="166"/>
      <c r="Y49" s="166"/>
      <c r="Z49" s="159">
        <v>22042.639650754358</v>
      </c>
      <c r="AA49" s="166"/>
      <c r="AB49" s="166"/>
      <c r="AC49" s="159">
        <v>2123.2069729999998</v>
      </c>
      <c r="AD49" s="169"/>
      <c r="AE49" s="169"/>
      <c r="AF49" s="161" t="s">
        <v>77</v>
      </c>
      <c r="AG49" s="169"/>
      <c r="AH49" s="169"/>
      <c r="AI49" s="159">
        <v>23096.020848550808</v>
      </c>
      <c r="AJ49" s="169"/>
    </row>
    <row r="50" spans="2:40" s="87" customFormat="1" ht="10.5" customHeight="1">
      <c r="B50" s="161"/>
      <c r="C50" s="171">
        <v>2013</v>
      </c>
      <c r="D50" s="169"/>
      <c r="E50" s="159">
        <v>65614.904628791701</v>
      </c>
      <c r="F50" s="166"/>
      <c r="G50" s="166"/>
      <c r="H50" s="159">
        <v>5733.2901064768421</v>
      </c>
      <c r="I50" s="166"/>
      <c r="J50" s="166"/>
      <c r="K50" s="159">
        <v>6108.3746144055249</v>
      </c>
      <c r="L50" s="166"/>
      <c r="M50" s="166"/>
      <c r="N50" s="159">
        <v>11841.664720882367</v>
      </c>
      <c r="O50" s="166"/>
      <c r="P50" s="172"/>
      <c r="Q50" s="161" t="s">
        <v>77</v>
      </c>
      <c r="R50" s="169"/>
      <c r="S50" s="169"/>
      <c r="T50" s="159">
        <v>4873.8014953793518</v>
      </c>
      <c r="U50" s="166"/>
      <c r="V50" s="166"/>
      <c r="W50" s="159">
        <v>16096.173016023004</v>
      </c>
      <c r="X50" s="166"/>
      <c r="Y50" s="166"/>
      <c r="Z50" s="159">
        <v>20969.97451140235</v>
      </c>
      <c r="AA50" s="166"/>
      <c r="AB50" s="166"/>
      <c r="AC50" s="159">
        <v>2250.143</v>
      </c>
      <c r="AD50" s="169"/>
      <c r="AE50" s="169"/>
      <c r="AF50" s="161" t="s">
        <v>77</v>
      </c>
      <c r="AG50" s="169"/>
      <c r="AH50" s="169"/>
      <c r="AI50" s="159">
        <v>20609.436846402088</v>
      </c>
      <c r="AJ50" s="166"/>
    </row>
    <row r="51" spans="2:40" s="87" customFormat="1" ht="10.5" customHeight="1">
      <c r="B51" s="161"/>
      <c r="C51" s="171">
        <v>2014</v>
      </c>
      <c r="D51" s="169"/>
      <c r="E51" s="159">
        <v>65846.861076139554</v>
      </c>
      <c r="F51" s="166"/>
      <c r="G51" s="166"/>
      <c r="H51" s="159">
        <v>5914.6483578056141</v>
      </c>
      <c r="I51" s="166"/>
      <c r="J51" s="166"/>
      <c r="K51" s="159">
        <v>6206.5291468511132</v>
      </c>
      <c r="L51" s="166"/>
      <c r="M51" s="166"/>
      <c r="N51" s="159">
        <v>12121.177504656727</v>
      </c>
      <c r="O51" s="172"/>
      <c r="P51" s="172"/>
      <c r="Q51" s="161" t="s">
        <v>77</v>
      </c>
      <c r="R51" s="169"/>
      <c r="S51" s="169"/>
      <c r="T51" s="159">
        <v>5045.9290727865064</v>
      </c>
      <c r="U51" s="166"/>
      <c r="V51" s="166"/>
      <c r="W51" s="159">
        <v>16250.399346323349</v>
      </c>
      <c r="X51" s="166"/>
      <c r="Y51" s="166"/>
      <c r="Z51" s="159">
        <v>21296.328419109857</v>
      </c>
      <c r="AA51" s="166"/>
      <c r="AB51" s="166"/>
      <c r="AC51" s="159">
        <v>2275.8595300000002</v>
      </c>
      <c r="AD51" s="169"/>
      <c r="AE51" s="169"/>
      <c r="AF51" s="161" t="s">
        <v>77</v>
      </c>
      <c r="AG51" s="169"/>
      <c r="AH51" s="169"/>
      <c r="AI51" s="159">
        <v>18389.942505822357</v>
      </c>
      <c r="AJ51" s="169"/>
    </row>
    <row r="52" spans="2:40" s="87" customFormat="1" ht="10.5" customHeight="1">
      <c r="B52" s="161"/>
      <c r="C52" s="171">
        <v>2015</v>
      </c>
      <c r="D52" s="169"/>
      <c r="E52" s="159">
        <v>65210.815542485092</v>
      </c>
      <c r="F52" s="166"/>
      <c r="G52" s="166"/>
      <c r="H52" s="159">
        <v>6121.1604908284298</v>
      </c>
      <c r="I52" s="166"/>
      <c r="J52" s="166"/>
      <c r="K52" s="159">
        <v>6528.7832856290861</v>
      </c>
      <c r="L52" s="166"/>
      <c r="M52" s="166"/>
      <c r="N52" s="159">
        <v>12649.943776457516</v>
      </c>
      <c r="O52" s="166"/>
      <c r="P52" s="172"/>
      <c r="Q52" s="161" t="s">
        <v>77</v>
      </c>
      <c r="R52" s="169"/>
      <c r="S52" s="169"/>
      <c r="T52" s="159">
        <v>5262.9587482205898</v>
      </c>
      <c r="U52" s="166"/>
      <c r="V52" s="166"/>
      <c r="W52" s="159">
        <v>15436.357628515567</v>
      </c>
      <c r="X52" s="166"/>
      <c r="Y52" s="166"/>
      <c r="Z52" s="159">
        <v>20699.316376736151</v>
      </c>
      <c r="AA52" s="166"/>
      <c r="AB52" s="166"/>
      <c r="AC52" s="159">
        <v>2294.2890000000002</v>
      </c>
      <c r="AD52" s="169"/>
      <c r="AE52" s="169"/>
      <c r="AF52" s="161" t="s">
        <v>77</v>
      </c>
      <c r="AG52" s="169"/>
      <c r="AH52" s="169"/>
      <c r="AI52" s="159">
        <v>18064.082696423589</v>
      </c>
      <c r="AJ52" s="169"/>
    </row>
    <row r="53" spans="2:40" s="87" customFormat="1" ht="17.25" customHeight="1">
      <c r="B53" s="161"/>
      <c r="C53" s="171">
        <v>2016</v>
      </c>
      <c r="D53" s="169"/>
      <c r="E53" s="159">
        <v>67539.84495841134</v>
      </c>
      <c r="F53" s="166"/>
      <c r="G53" s="166"/>
      <c r="H53" s="159">
        <v>6151.9518630371695</v>
      </c>
      <c r="I53" s="166"/>
      <c r="J53" s="166"/>
      <c r="K53" s="159">
        <v>6648.3596210830201</v>
      </c>
      <c r="L53" s="166"/>
      <c r="M53" s="166"/>
      <c r="N53" s="159">
        <v>12800.31148412019</v>
      </c>
      <c r="O53" s="172"/>
      <c r="P53" s="172"/>
      <c r="Q53" s="161" t="s">
        <v>77</v>
      </c>
      <c r="R53" s="169"/>
      <c r="S53" s="169"/>
      <c r="T53" s="159">
        <v>4969.3555374908346</v>
      </c>
      <c r="U53" s="166"/>
      <c r="V53" s="166"/>
      <c r="W53" s="159">
        <v>16436.400075269041</v>
      </c>
      <c r="X53" s="166"/>
      <c r="Y53" s="166"/>
      <c r="Z53" s="159">
        <v>21405.755612759873</v>
      </c>
      <c r="AA53" s="166"/>
      <c r="AB53" s="166"/>
      <c r="AC53" s="161" t="s">
        <v>78</v>
      </c>
      <c r="AD53" s="169">
        <v>18</v>
      </c>
      <c r="AE53" s="169"/>
      <c r="AF53" s="161" t="s">
        <v>78</v>
      </c>
      <c r="AG53" s="169">
        <v>18</v>
      </c>
      <c r="AH53" s="169"/>
      <c r="AI53" s="161" t="s">
        <v>78</v>
      </c>
      <c r="AJ53" s="169">
        <v>18</v>
      </c>
      <c r="AL53" s="346"/>
    </row>
    <row r="54" spans="2:40" s="87" customFormat="1" ht="10.5" customHeight="1">
      <c r="B54" s="161"/>
      <c r="C54" s="171">
        <v>2017</v>
      </c>
      <c r="D54" s="169"/>
      <c r="E54" s="159">
        <v>69356.566875742181</v>
      </c>
      <c r="F54" s="166"/>
      <c r="G54" s="166"/>
      <c r="H54" s="159">
        <v>6350.7371180672908</v>
      </c>
      <c r="I54" s="166"/>
      <c r="J54" s="166"/>
      <c r="K54" s="159">
        <v>6979.8752674023144</v>
      </c>
      <c r="L54" s="166"/>
      <c r="M54" s="166"/>
      <c r="N54" s="159">
        <v>13330.612385469605</v>
      </c>
      <c r="O54" s="172"/>
      <c r="P54" s="172"/>
      <c r="Q54" s="161" t="s">
        <v>77</v>
      </c>
      <c r="R54" s="169"/>
      <c r="S54" s="169"/>
      <c r="T54" s="115">
        <v>4932.7110368229041</v>
      </c>
      <c r="U54" s="166"/>
      <c r="V54" s="166"/>
      <c r="W54" s="115">
        <v>16905.464728082108</v>
      </c>
      <c r="X54" s="166"/>
      <c r="Y54" s="166"/>
      <c r="Z54" s="115">
        <v>21838.175764905012</v>
      </c>
      <c r="AA54" s="166"/>
      <c r="AB54" s="166"/>
      <c r="AC54" s="161" t="s">
        <v>78</v>
      </c>
      <c r="AD54" s="169"/>
      <c r="AE54" s="169"/>
      <c r="AF54" s="161" t="s">
        <v>78</v>
      </c>
      <c r="AG54" s="169"/>
      <c r="AH54" s="169"/>
      <c r="AI54" s="161" t="s">
        <v>78</v>
      </c>
      <c r="AJ54" s="169"/>
      <c r="AL54" s="159"/>
      <c r="AM54" s="159"/>
      <c r="AN54" s="159"/>
    </row>
    <row r="55" spans="2:40" s="87" customFormat="1" ht="11.4" customHeight="1">
      <c r="B55" s="161"/>
      <c r="C55" s="171">
        <v>2018</v>
      </c>
      <c r="D55" s="169"/>
      <c r="E55" s="159">
        <v>71100.850055755378</v>
      </c>
      <c r="F55" s="166"/>
      <c r="G55" s="166"/>
      <c r="H55" s="159">
        <v>6520.5203691610104</v>
      </c>
      <c r="I55" s="166"/>
      <c r="J55" s="166"/>
      <c r="K55" s="159">
        <v>7026.2778780944554</v>
      </c>
      <c r="L55" s="166"/>
      <c r="M55" s="166"/>
      <c r="N55" s="159">
        <v>13546.798247255467</v>
      </c>
      <c r="O55" s="172"/>
      <c r="P55" s="172"/>
      <c r="Q55" s="161" t="s">
        <v>77</v>
      </c>
      <c r="R55" s="169"/>
      <c r="S55" s="169"/>
      <c r="T55" s="159">
        <v>5779.2319558290837</v>
      </c>
      <c r="U55" s="169">
        <v>20</v>
      </c>
      <c r="V55" s="166"/>
      <c r="W55" s="159">
        <f>'Tabell 4.7'!AO56+'Tabell 4.7'!AO58</f>
        <v>17015.074113302715</v>
      </c>
      <c r="X55" s="166">
        <v>20</v>
      </c>
      <c r="Y55" s="166" t="s">
        <v>810</v>
      </c>
      <c r="Z55" s="159">
        <f>SUM(T55,W55)</f>
        <v>22794.306069131799</v>
      </c>
      <c r="AA55" s="166">
        <v>20</v>
      </c>
      <c r="AB55" s="166" t="s">
        <v>810</v>
      </c>
      <c r="AC55" s="161" t="s">
        <v>78</v>
      </c>
      <c r="AD55" s="169"/>
      <c r="AE55" s="169"/>
      <c r="AF55" s="161" t="s">
        <v>78</v>
      </c>
      <c r="AG55" s="169"/>
      <c r="AH55" s="169"/>
      <c r="AI55" s="161" t="s">
        <v>78</v>
      </c>
      <c r="AJ55" s="169"/>
    </row>
    <row r="56" spans="2:40" s="87" customFormat="1" ht="11.4" customHeight="1">
      <c r="B56" s="161"/>
      <c r="C56" s="171">
        <v>2019</v>
      </c>
      <c r="D56" s="169"/>
      <c r="E56" s="159">
        <v>71229.723073280838</v>
      </c>
      <c r="F56" s="166"/>
      <c r="G56" s="166"/>
      <c r="H56" s="159">
        <v>7637.8014229541795</v>
      </c>
      <c r="I56" s="166"/>
      <c r="J56" s="166"/>
      <c r="K56" s="159">
        <v>6979.4058111664608</v>
      </c>
      <c r="L56" s="166"/>
      <c r="M56" s="166"/>
      <c r="N56" s="159">
        <v>14617.20723412064</v>
      </c>
      <c r="O56" s="172"/>
      <c r="P56" s="172"/>
      <c r="Q56" s="161" t="s">
        <v>77</v>
      </c>
      <c r="R56" s="169"/>
      <c r="S56" s="169"/>
      <c r="T56" s="159">
        <v>5935.413295602666</v>
      </c>
      <c r="U56" s="169"/>
      <c r="V56" s="166"/>
      <c r="W56" s="159">
        <f>'Tabell 4.7'!AQ56+'Tabell 4.7'!AQ58</f>
        <v>16286.652378891376</v>
      </c>
      <c r="X56" s="166" t="s">
        <v>810</v>
      </c>
      <c r="Y56" s="166"/>
      <c r="Z56" s="159">
        <f t="shared" ref="Z56:Z57" si="0">SUM(T56,W56)</f>
        <v>22222.065674494042</v>
      </c>
      <c r="AA56" s="166" t="s">
        <v>810</v>
      </c>
      <c r="AB56" s="166"/>
      <c r="AC56" s="161" t="s">
        <v>78</v>
      </c>
      <c r="AD56" s="169"/>
      <c r="AE56" s="169"/>
      <c r="AF56" s="161" t="s">
        <v>78</v>
      </c>
      <c r="AG56" s="169"/>
      <c r="AH56" s="169"/>
      <c r="AI56" s="161" t="s">
        <v>78</v>
      </c>
      <c r="AJ56" s="169"/>
      <c r="AL56" s="346"/>
    </row>
    <row r="57" spans="2:40" s="87" customFormat="1" ht="11.4" customHeight="1">
      <c r="B57" s="161"/>
      <c r="C57" s="171">
        <v>2020</v>
      </c>
      <c r="D57" s="169"/>
      <c r="E57" s="159">
        <v>69024.735554892919</v>
      </c>
      <c r="F57" s="166"/>
      <c r="G57" s="166"/>
      <c r="H57" s="159">
        <v>4527.436875669825</v>
      </c>
      <c r="I57" s="166"/>
      <c r="J57" s="166"/>
      <c r="K57" s="159">
        <v>3601.3077890217724</v>
      </c>
      <c r="L57" s="166"/>
      <c r="M57" s="166"/>
      <c r="N57" s="159">
        <v>8128.7446646915978</v>
      </c>
      <c r="O57" s="172"/>
      <c r="P57" s="172"/>
      <c r="Q57" s="161" t="s">
        <v>77</v>
      </c>
      <c r="R57" s="169"/>
      <c r="S57" s="169"/>
      <c r="T57" s="159">
        <v>5989.5976655006116</v>
      </c>
      <c r="U57" s="169"/>
      <c r="V57" s="166"/>
      <c r="W57" s="159">
        <f>'Tabell 4.7'!AS56+'Tabell 4.7'!AS58</f>
        <v>16104.300313514017</v>
      </c>
      <c r="X57" s="166"/>
      <c r="Y57" s="166"/>
      <c r="Z57" s="159">
        <f t="shared" si="0"/>
        <v>22093.89797901463</v>
      </c>
      <c r="AA57" s="166"/>
      <c r="AB57" s="166"/>
      <c r="AC57" s="161" t="s">
        <v>78</v>
      </c>
      <c r="AD57" s="169"/>
      <c r="AE57" s="169"/>
      <c r="AF57" s="161" t="s">
        <v>78</v>
      </c>
      <c r="AG57" s="169"/>
      <c r="AH57" s="169"/>
      <c r="AI57" s="161" t="s">
        <v>78</v>
      </c>
      <c r="AJ57" s="169"/>
      <c r="AL57" s="397"/>
      <c r="AN57" s="398"/>
    </row>
    <row r="58" spans="2:40" s="87" customFormat="1" ht="17.25" customHeight="1">
      <c r="B58" s="161"/>
      <c r="C58" s="171">
        <v>2021</v>
      </c>
      <c r="D58" s="169"/>
      <c r="E58" s="159">
        <v>73272.998008727387</v>
      </c>
      <c r="F58" s="166"/>
      <c r="G58" s="166"/>
      <c r="H58" s="159">
        <v>4275.3578441775808</v>
      </c>
      <c r="I58" s="166"/>
      <c r="J58" s="166"/>
      <c r="K58" s="159">
        <v>3752.1314533725727</v>
      </c>
      <c r="L58" s="166"/>
      <c r="M58" s="166"/>
      <c r="N58" s="159">
        <v>8027.4892975501534</v>
      </c>
      <c r="O58" s="172"/>
      <c r="P58" s="172"/>
      <c r="Q58" s="161" t="s">
        <v>77</v>
      </c>
      <c r="R58" s="169"/>
      <c r="S58" s="169"/>
      <c r="T58" s="159">
        <v>6381.9086964171302</v>
      </c>
      <c r="U58" s="166"/>
      <c r="V58" s="166"/>
      <c r="W58" s="159">
        <v>17066.9784690698</v>
      </c>
      <c r="X58" s="166"/>
      <c r="Y58" s="166"/>
      <c r="Z58" s="159">
        <v>23448.887165486929</v>
      </c>
      <c r="AA58" s="166"/>
      <c r="AB58" s="166"/>
      <c r="AC58" s="161" t="s">
        <v>78</v>
      </c>
      <c r="AD58" s="169"/>
      <c r="AE58" s="169"/>
      <c r="AF58" s="161" t="s">
        <v>78</v>
      </c>
      <c r="AG58" s="169"/>
      <c r="AH58" s="169"/>
      <c r="AI58" s="161" t="s">
        <v>78</v>
      </c>
      <c r="AJ58" s="169"/>
      <c r="AL58" s="346"/>
    </row>
    <row r="59" spans="2:40" ht="6" customHeight="1">
      <c r="B59" s="13"/>
      <c r="C59" s="62"/>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row>
    <row r="60" spans="2:40" ht="26.25" customHeight="1">
      <c r="B60" s="459" t="s">
        <v>80</v>
      </c>
      <c r="C60" s="459"/>
      <c r="D60" s="459"/>
      <c r="E60" s="495" t="s">
        <v>197</v>
      </c>
      <c r="F60" s="495"/>
      <c r="G60" s="495"/>
      <c r="H60" s="495"/>
      <c r="I60" s="495"/>
      <c r="J60" s="495"/>
      <c r="K60" s="495"/>
      <c r="L60" s="495"/>
      <c r="M60" s="495"/>
      <c r="N60" s="495"/>
      <c r="O60" s="495"/>
      <c r="P60" s="495"/>
      <c r="Q60" s="495"/>
      <c r="R60" s="495"/>
      <c r="S60" s="495"/>
      <c r="T60" s="495"/>
      <c r="U60" s="495"/>
      <c r="V60" s="495"/>
      <c r="W60" s="495"/>
      <c r="X60" s="495"/>
      <c r="Y60" s="495"/>
      <c r="Z60" s="495"/>
      <c r="AA60" s="495"/>
      <c r="AB60" s="154"/>
      <c r="AC60" s="495" t="s">
        <v>514</v>
      </c>
      <c r="AD60" s="495"/>
      <c r="AE60" s="495"/>
      <c r="AF60" s="495"/>
      <c r="AG60" s="495"/>
      <c r="AH60" s="495"/>
      <c r="AI60" s="495"/>
      <c r="AJ60" s="495"/>
    </row>
    <row r="61" spans="2:40" ht="14.25" customHeight="1">
      <c r="B61" s="459"/>
      <c r="C61" s="459"/>
      <c r="D61" s="459"/>
      <c r="E61" s="459" t="s">
        <v>198</v>
      </c>
      <c r="F61" s="459"/>
      <c r="G61" s="154"/>
      <c r="H61" s="498" t="s">
        <v>12</v>
      </c>
      <c r="I61" s="499"/>
      <c r="J61" s="499"/>
      <c r="K61" s="499"/>
      <c r="L61" s="499"/>
      <c r="M61" s="499"/>
      <c r="N61" s="499"/>
      <c r="O61" s="499"/>
      <c r="P61" s="179"/>
      <c r="Q61" s="495" t="s">
        <v>199</v>
      </c>
      <c r="R61" s="519"/>
      <c r="S61" s="519"/>
      <c r="T61" s="519"/>
      <c r="U61" s="519"/>
      <c r="V61" s="519"/>
      <c r="W61" s="519"/>
      <c r="X61" s="519"/>
      <c r="Y61" s="519"/>
      <c r="Z61" s="519"/>
      <c r="AA61" s="519"/>
      <c r="AB61" s="165"/>
      <c r="AC61" s="459" t="s">
        <v>203</v>
      </c>
      <c r="AD61" s="459"/>
      <c r="AE61" s="154"/>
      <c r="AF61" s="459" t="s">
        <v>204</v>
      </c>
      <c r="AG61" s="459"/>
      <c r="AH61" s="154"/>
      <c r="AI61" s="459" t="s">
        <v>191</v>
      </c>
      <c r="AJ61" s="459"/>
    </row>
    <row r="62" spans="2:40" ht="35.25" customHeight="1">
      <c r="B62" s="459"/>
      <c r="C62" s="459"/>
      <c r="D62" s="459"/>
      <c r="E62" s="466"/>
      <c r="F62" s="466"/>
      <c r="G62" s="154"/>
      <c r="H62" s="466" t="s">
        <v>760</v>
      </c>
      <c r="I62" s="520"/>
      <c r="J62" s="182"/>
      <c r="K62" s="466" t="s">
        <v>761</v>
      </c>
      <c r="L62" s="521"/>
      <c r="M62" s="156"/>
      <c r="N62" s="466" t="s">
        <v>84</v>
      </c>
      <c r="O62" s="466"/>
      <c r="P62" s="154"/>
      <c r="Q62" s="466" t="s">
        <v>200</v>
      </c>
      <c r="R62" s="466"/>
      <c r="S62" s="154"/>
      <c r="T62" s="466" t="s">
        <v>201</v>
      </c>
      <c r="U62" s="466"/>
      <c r="V62" s="154"/>
      <c r="W62" s="466" t="s">
        <v>202</v>
      </c>
      <c r="X62" s="466"/>
      <c r="Y62" s="154"/>
      <c r="Z62" s="466" t="s">
        <v>84</v>
      </c>
      <c r="AA62" s="466"/>
      <c r="AB62" s="154"/>
      <c r="AC62" s="466" t="s">
        <v>203</v>
      </c>
      <c r="AD62" s="466"/>
      <c r="AE62" s="154"/>
      <c r="AF62" s="466" t="s">
        <v>204</v>
      </c>
      <c r="AG62" s="466"/>
      <c r="AH62" s="154"/>
      <c r="AI62" s="466" t="s">
        <v>191</v>
      </c>
      <c r="AJ62" s="466"/>
    </row>
    <row r="63" spans="2:40" ht="43.5" customHeight="1">
      <c r="B63" s="459"/>
      <c r="C63" s="459"/>
      <c r="D63" s="459"/>
      <c r="E63" s="466" t="s">
        <v>205</v>
      </c>
      <c r="F63" s="466"/>
      <c r="G63" s="154"/>
      <c r="H63" s="466" t="s">
        <v>206</v>
      </c>
      <c r="I63" s="501"/>
      <c r="J63" s="501"/>
      <c r="K63" s="501"/>
      <c r="L63" s="501"/>
      <c r="M63" s="501"/>
      <c r="N63" s="501"/>
      <c r="O63" s="501"/>
      <c r="P63" s="183"/>
      <c r="Q63" s="466" t="s">
        <v>207</v>
      </c>
      <c r="R63" s="466"/>
      <c r="S63" s="466"/>
      <c r="T63" s="466"/>
      <c r="U63" s="466"/>
      <c r="V63" s="466"/>
      <c r="W63" s="466"/>
      <c r="X63" s="466"/>
      <c r="Y63" s="466"/>
      <c r="Z63" s="466"/>
      <c r="AA63" s="466"/>
      <c r="AB63" s="154"/>
      <c r="AC63" s="466" t="s">
        <v>515</v>
      </c>
      <c r="AD63" s="466"/>
      <c r="AE63" s="154"/>
      <c r="AF63" s="466" t="s">
        <v>174</v>
      </c>
      <c r="AG63" s="466"/>
      <c r="AH63" s="154"/>
      <c r="AI63" s="466" t="s">
        <v>504</v>
      </c>
      <c r="AJ63" s="466"/>
    </row>
    <row r="64" spans="2:40" ht="6" customHeight="1">
      <c r="B64" s="116"/>
      <c r="C64" s="116"/>
      <c r="D64" s="116"/>
      <c r="E64" s="116"/>
      <c r="F64" s="116"/>
      <c r="G64" s="116"/>
      <c r="H64" s="116"/>
      <c r="I64" s="92"/>
      <c r="J64" s="92"/>
      <c r="K64" s="92"/>
      <c r="L64" s="92"/>
      <c r="M64" s="92"/>
      <c r="N64" s="92"/>
      <c r="O64" s="92"/>
      <c r="P64" s="92"/>
      <c r="Q64" s="116"/>
      <c r="R64" s="116"/>
      <c r="S64" s="116"/>
      <c r="T64" s="116"/>
      <c r="U64" s="116"/>
      <c r="V64" s="116"/>
      <c r="W64" s="116"/>
      <c r="X64" s="116"/>
      <c r="Y64" s="116"/>
      <c r="Z64" s="116"/>
      <c r="AA64" s="116"/>
      <c r="AB64" s="116"/>
      <c r="AC64" s="116"/>
      <c r="AD64" s="116"/>
      <c r="AE64" s="116"/>
      <c r="AF64" s="116"/>
      <c r="AG64" s="116"/>
      <c r="AH64" s="116"/>
      <c r="AI64" s="116"/>
      <c r="AJ64" s="116"/>
    </row>
    <row r="65" spans="2:38" ht="13.5" customHeight="1">
      <c r="B65" s="24" t="s">
        <v>1205</v>
      </c>
      <c r="C65" s="42"/>
      <c r="E65" s="2"/>
      <c r="F65" s="2"/>
      <c r="G65" s="2"/>
      <c r="H65" s="2"/>
      <c r="I65" s="2"/>
      <c r="J65" s="2"/>
      <c r="K65" s="2"/>
      <c r="L65" s="2"/>
      <c r="M65" s="2"/>
      <c r="N65" s="2"/>
      <c r="O65" s="2"/>
      <c r="P65" s="2"/>
      <c r="Q65" s="2"/>
      <c r="R65" s="2"/>
    </row>
    <row r="66" spans="2:38" ht="10.5" customHeight="1">
      <c r="B66" s="24" t="s">
        <v>1206</v>
      </c>
      <c r="C66" s="284"/>
      <c r="E66" s="25"/>
      <c r="F66" s="26"/>
      <c r="G66" s="25"/>
      <c r="H66" s="26"/>
      <c r="I66" s="25"/>
      <c r="J66" s="26"/>
      <c r="K66" s="25"/>
      <c r="L66" s="26"/>
      <c r="M66" s="25"/>
      <c r="N66" s="26"/>
      <c r="O66" s="25"/>
      <c r="P66" s="26"/>
      <c r="Q66" s="25"/>
      <c r="R66" s="26"/>
      <c r="S66" s="26"/>
      <c r="T66" s="30"/>
      <c r="U66" s="25"/>
      <c r="V66" s="26"/>
      <c r="W66" s="25"/>
      <c r="X66" s="26"/>
      <c r="Y66" s="25"/>
      <c r="Z66" s="32"/>
      <c r="AA66" s="25"/>
      <c r="AB66" s="23"/>
      <c r="AC66" s="25"/>
      <c r="AD66" s="23"/>
      <c r="AE66" s="25"/>
      <c r="AF66" s="23"/>
      <c r="AG66" s="25"/>
      <c r="AH66" s="23"/>
      <c r="AI66" s="25"/>
      <c r="AJ66" s="23"/>
      <c r="AK66" s="25"/>
    </row>
    <row r="67" spans="2:38" ht="12" customHeight="1">
      <c r="B67" s="24" t="s">
        <v>1207</v>
      </c>
      <c r="C67" s="116"/>
      <c r="D67" s="116"/>
      <c r="E67" s="116"/>
      <c r="F67" s="116"/>
      <c r="G67" s="116"/>
      <c r="H67" s="116"/>
      <c r="I67" s="92"/>
      <c r="J67" s="92"/>
      <c r="K67" s="92"/>
      <c r="L67" s="92"/>
      <c r="M67" s="92"/>
      <c r="N67" s="92"/>
      <c r="O67" s="92"/>
      <c r="P67" s="92"/>
      <c r="Q67" s="116"/>
      <c r="R67" s="116"/>
      <c r="S67" s="116"/>
      <c r="T67" s="116"/>
      <c r="U67" s="116"/>
      <c r="V67" s="116"/>
      <c r="W67" s="116"/>
      <c r="X67" s="116"/>
      <c r="Y67" s="116"/>
      <c r="Z67" s="116"/>
      <c r="AA67" s="116"/>
      <c r="AB67" s="116"/>
      <c r="AC67" s="116"/>
      <c r="AD67" s="116"/>
      <c r="AE67" s="116"/>
      <c r="AF67" s="116"/>
      <c r="AG67" s="116"/>
      <c r="AH67" s="116"/>
      <c r="AI67" s="116"/>
      <c r="AJ67" s="116"/>
    </row>
    <row r="68" spans="2:38" ht="12" customHeight="1">
      <c r="B68" s="401" t="s">
        <v>1208</v>
      </c>
      <c r="C68" s="116"/>
      <c r="D68" s="116"/>
      <c r="E68" s="116"/>
      <c r="F68" s="116"/>
      <c r="G68" s="116"/>
      <c r="H68" s="116"/>
      <c r="I68" s="92"/>
      <c r="J68" s="92"/>
      <c r="K68" s="92"/>
      <c r="L68" s="92"/>
      <c r="M68" s="92"/>
      <c r="N68" s="92"/>
      <c r="O68" s="92"/>
      <c r="P68" s="92"/>
      <c r="Q68" s="116"/>
      <c r="R68" s="116"/>
      <c r="S68" s="116"/>
      <c r="T68" s="116"/>
      <c r="U68" s="116"/>
      <c r="V68" s="116"/>
      <c r="W68" s="116"/>
      <c r="X68" s="116"/>
      <c r="Y68" s="116"/>
      <c r="Z68" s="116"/>
      <c r="AA68" s="116"/>
      <c r="AB68" s="116"/>
      <c r="AC68" s="116"/>
      <c r="AD68" s="116"/>
      <c r="AE68" s="116"/>
      <c r="AF68" s="116"/>
      <c r="AG68" s="116"/>
      <c r="AH68" s="116"/>
      <c r="AI68" s="116"/>
      <c r="AJ68" s="116"/>
    </row>
    <row r="69" spans="2:38" ht="15.75" customHeight="1">
      <c r="B69" s="52">
        <v>15</v>
      </c>
      <c r="C69" s="126" t="s">
        <v>847</v>
      </c>
      <c r="S69" s="52"/>
      <c r="T69" s="52">
        <v>18</v>
      </c>
      <c r="U69" s="53" t="s">
        <v>720</v>
      </c>
    </row>
    <row r="70" spans="2:38" ht="13.5" customHeight="1">
      <c r="C70" s="126" t="s">
        <v>848</v>
      </c>
      <c r="U70" s="53" t="s">
        <v>766</v>
      </c>
    </row>
    <row r="71" spans="2:38" ht="13.5" customHeight="1">
      <c r="C71" s="126" t="s">
        <v>849</v>
      </c>
      <c r="U71" s="53" t="s">
        <v>721</v>
      </c>
    </row>
    <row r="72" spans="2:38" ht="13.5" customHeight="1">
      <c r="C72" s="128" t="s">
        <v>850</v>
      </c>
      <c r="U72" s="53" t="s">
        <v>762</v>
      </c>
    </row>
    <row r="73" spans="2:38" ht="13.5" customHeight="1">
      <c r="C73" s="128" t="s">
        <v>851</v>
      </c>
      <c r="S73" s="111"/>
      <c r="T73" s="111">
        <v>19</v>
      </c>
      <c r="U73" s="16" t="s">
        <v>750</v>
      </c>
    </row>
    <row r="74" spans="2:38" ht="13.5" customHeight="1">
      <c r="C74" s="128" t="s">
        <v>853</v>
      </c>
      <c r="U74" s="53" t="s">
        <v>751</v>
      </c>
    </row>
    <row r="75" spans="2:38" ht="13.5" customHeight="1">
      <c r="C75" s="128" t="s">
        <v>852</v>
      </c>
      <c r="U75" s="53" t="s">
        <v>763</v>
      </c>
      <c r="AL75" s="314"/>
    </row>
    <row r="76" spans="2:38" ht="13.5" customHeight="1">
      <c r="B76" s="78">
        <v>17</v>
      </c>
      <c r="C76" s="126" t="s">
        <v>854</v>
      </c>
      <c r="S76" s="52"/>
      <c r="T76" s="111">
        <v>20</v>
      </c>
      <c r="U76" s="127" t="s">
        <v>1184</v>
      </c>
      <c r="X76" s="16"/>
      <c r="Y76" s="16"/>
      <c r="Z76" s="16"/>
      <c r="AL76" s="127"/>
    </row>
    <row r="77" spans="2:38" ht="13.5" customHeight="1">
      <c r="C77" s="126" t="s">
        <v>855</v>
      </c>
      <c r="U77" s="127" t="s">
        <v>1185</v>
      </c>
      <c r="X77" s="16"/>
      <c r="Y77" s="16"/>
      <c r="Z77" s="16"/>
      <c r="AL77" s="127"/>
    </row>
    <row r="78" spans="2:38" ht="13.5" customHeight="1">
      <c r="C78" s="128" t="s">
        <v>856</v>
      </c>
      <c r="S78" s="111"/>
      <c r="U78" s="127" t="s">
        <v>1186</v>
      </c>
      <c r="X78" s="16"/>
      <c r="Y78" s="16"/>
      <c r="Z78" s="16"/>
      <c r="AL78" s="127"/>
    </row>
    <row r="79" spans="2:38" ht="13.5" customHeight="1">
      <c r="B79" s="52">
        <v>16</v>
      </c>
      <c r="C79" s="127" t="s">
        <v>476</v>
      </c>
      <c r="F79" s="16"/>
      <c r="G79" s="16"/>
      <c r="H79" s="16"/>
      <c r="I79" s="16"/>
      <c r="J79" s="16"/>
      <c r="K79" s="16"/>
      <c r="L79" s="16"/>
      <c r="M79" s="16"/>
      <c r="N79" s="16"/>
      <c r="O79" s="16"/>
      <c r="P79" s="16"/>
      <c r="Q79" s="16"/>
      <c r="U79" s="127" t="s">
        <v>1187</v>
      </c>
      <c r="X79" s="16"/>
      <c r="Y79" s="16"/>
      <c r="Z79" s="16"/>
      <c r="AL79" s="127"/>
    </row>
    <row r="80" spans="2:38" ht="13.5" customHeight="1">
      <c r="C80" s="16" t="s">
        <v>473</v>
      </c>
      <c r="G80" s="16"/>
      <c r="H80" s="16"/>
      <c r="I80" s="16"/>
      <c r="J80" s="16"/>
      <c r="K80" s="16"/>
      <c r="L80" s="16"/>
      <c r="M80" s="16"/>
      <c r="N80" s="16"/>
      <c r="O80" s="16"/>
      <c r="P80" s="16"/>
      <c r="Q80" s="16"/>
      <c r="U80" s="127" t="s">
        <v>1188</v>
      </c>
      <c r="X80" s="16"/>
      <c r="Y80" s="16"/>
      <c r="Z80" s="16"/>
      <c r="AL80" s="127"/>
    </row>
    <row r="81" spans="3:53">
      <c r="C81" s="16" t="s">
        <v>474</v>
      </c>
      <c r="D81" s="53"/>
      <c r="E81" s="53"/>
      <c r="G81" s="16"/>
      <c r="H81" s="16"/>
      <c r="I81" s="16"/>
      <c r="J81" s="16"/>
      <c r="K81" s="16"/>
      <c r="L81" s="16"/>
      <c r="M81" s="16"/>
      <c r="N81" s="16"/>
      <c r="O81" s="16"/>
      <c r="P81" s="16"/>
      <c r="Q81" s="16"/>
      <c r="U81" s="129" t="s">
        <v>1189</v>
      </c>
      <c r="X81" s="16"/>
      <c r="Y81" s="16"/>
      <c r="Z81" s="16"/>
      <c r="AL81" s="127"/>
    </row>
    <row r="82" spans="3:53">
      <c r="C82" s="16" t="s">
        <v>475</v>
      </c>
      <c r="D82" s="16"/>
      <c r="E82" s="16"/>
      <c r="G82" s="16"/>
      <c r="H82" s="16"/>
      <c r="I82" s="16"/>
      <c r="J82" s="16"/>
      <c r="K82" s="16"/>
      <c r="L82" s="16"/>
      <c r="M82" s="16"/>
      <c r="N82" s="16"/>
      <c r="O82" s="16"/>
      <c r="P82" s="16"/>
      <c r="Q82" s="16"/>
      <c r="U82" s="129" t="s">
        <v>1190</v>
      </c>
      <c r="X82" s="16"/>
      <c r="Y82" s="16"/>
      <c r="Z82" s="16"/>
    </row>
    <row r="83" spans="3:53">
      <c r="C83" s="16" t="s">
        <v>497</v>
      </c>
      <c r="D83" s="16"/>
      <c r="E83" s="16"/>
      <c r="G83" s="16"/>
      <c r="H83" s="16"/>
      <c r="I83" s="16"/>
      <c r="J83" s="16"/>
      <c r="K83" s="16"/>
      <c r="L83" s="16"/>
      <c r="M83" s="16"/>
      <c r="N83" s="16"/>
      <c r="O83" s="16"/>
      <c r="P83" s="16"/>
      <c r="Q83" s="16"/>
      <c r="U83" s="129" t="s">
        <v>1191</v>
      </c>
    </row>
    <row r="84" spans="3:53">
      <c r="C84" s="129" t="s">
        <v>477</v>
      </c>
      <c r="P84" s="16"/>
      <c r="Q84" s="16"/>
      <c r="U84" s="129" t="s">
        <v>1192</v>
      </c>
    </row>
    <row r="85" spans="3:53">
      <c r="C85" s="53" t="s">
        <v>478</v>
      </c>
      <c r="P85" s="16"/>
      <c r="Q85" s="16"/>
      <c r="U85" s="53"/>
    </row>
    <row r="86" spans="3:53">
      <c r="C86" s="53" t="s">
        <v>479</v>
      </c>
      <c r="D86" s="16"/>
      <c r="E86" s="16"/>
      <c r="F86" s="16"/>
      <c r="G86" s="16"/>
      <c r="H86" s="16"/>
      <c r="I86" s="16"/>
      <c r="J86" s="16"/>
      <c r="K86" s="16"/>
      <c r="L86" s="16"/>
      <c r="M86" s="16"/>
      <c r="N86" s="16"/>
      <c r="O86" s="16"/>
      <c r="P86" s="16"/>
      <c r="Q86" s="16"/>
      <c r="U86" s="53"/>
    </row>
    <row r="87" spans="3:53">
      <c r="C87" s="53" t="s">
        <v>480</v>
      </c>
      <c r="U87" s="53"/>
      <c r="AH87" s="16"/>
    </row>
    <row r="88" spans="3:53" ht="14.25" customHeight="1">
      <c r="C88" s="53" t="s">
        <v>481</v>
      </c>
      <c r="U88" s="53"/>
      <c r="AH88" s="16"/>
      <c r="AP88" s="16"/>
      <c r="AQ88" s="16"/>
      <c r="AR88" s="16"/>
      <c r="AS88" s="16"/>
      <c r="AT88" s="16"/>
      <c r="AU88" s="16"/>
      <c r="AV88" s="16"/>
      <c r="AW88" s="16"/>
      <c r="AX88" s="16"/>
      <c r="AY88" s="16"/>
      <c r="AZ88" s="16"/>
      <c r="BA88" s="16"/>
    </row>
    <row r="89" spans="3:53" ht="14.25" customHeight="1">
      <c r="U89" s="53"/>
      <c r="AH89" s="16"/>
      <c r="AL89" s="16"/>
      <c r="AM89" s="16"/>
      <c r="AN89" s="16"/>
      <c r="AO89" s="16"/>
      <c r="AP89" s="16"/>
      <c r="AQ89" s="16"/>
      <c r="AR89" s="16"/>
      <c r="AS89" s="16"/>
      <c r="AT89" s="16"/>
      <c r="AU89" s="16"/>
      <c r="AV89" s="16"/>
      <c r="AW89" s="16"/>
      <c r="AX89" s="16"/>
      <c r="AY89" s="16"/>
      <c r="AZ89" s="16"/>
      <c r="BA89" s="16"/>
    </row>
    <row r="90" spans="3:53" ht="15" customHeight="1">
      <c r="U90" s="53"/>
      <c r="AH90" s="16"/>
      <c r="AL90" s="16"/>
      <c r="AM90" s="16"/>
      <c r="AN90" s="16"/>
      <c r="AO90" s="16"/>
      <c r="AP90" s="16"/>
      <c r="AQ90" s="16"/>
      <c r="AR90" s="16"/>
      <c r="AS90" s="16"/>
      <c r="AT90" s="16"/>
      <c r="AU90" s="16"/>
      <c r="AV90" s="16"/>
      <c r="AW90" s="16"/>
      <c r="AX90" s="16"/>
      <c r="AY90" s="16"/>
      <c r="AZ90" s="16"/>
      <c r="BA90" s="16"/>
    </row>
    <row r="91" spans="3:53" ht="14.25" customHeight="1">
      <c r="AL91" s="16"/>
      <c r="AM91" s="16"/>
      <c r="AN91" s="16"/>
      <c r="AO91" s="16"/>
      <c r="AP91" s="16"/>
      <c r="AQ91" s="16"/>
      <c r="AR91" s="16"/>
      <c r="AS91" s="16"/>
      <c r="AT91" s="16"/>
      <c r="AU91" s="16"/>
      <c r="AV91" s="16"/>
      <c r="AW91" s="16"/>
      <c r="AX91" s="16"/>
      <c r="AY91" s="16"/>
      <c r="AZ91" s="16"/>
      <c r="BA91" s="16"/>
    </row>
    <row r="92" spans="3:53" ht="14.25" customHeight="1">
      <c r="AL92" s="16"/>
      <c r="AN92" s="16"/>
      <c r="AO92" s="16"/>
      <c r="AP92" s="16"/>
      <c r="AQ92" s="16"/>
      <c r="AR92" s="16"/>
      <c r="AS92" s="16"/>
      <c r="AT92" s="16"/>
      <c r="AU92" s="16"/>
      <c r="AV92" s="16"/>
      <c r="AW92" s="16"/>
      <c r="AX92" s="16"/>
      <c r="AY92" s="16"/>
      <c r="AZ92" s="16"/>
      <c r="BA92" s="16"/>
    </row>
    <row r="93" spans="3:53" ht="14.25" customHeight="1">
      <c r="AH93" s="16"/>
      <c r="AL93" s="16"/>
      <c r="AM93" s="16"/>
      <c r="AN93" s="16"/>
      <c r="AO93" s="16"/>
      <c r="AP93" s="16"/>
      <c r="AQ93" s="16"/>
      <c r="AR93" s="16"/>
      <c r="AS93" s="16"/>
      <c r="AT93" s="16"/>
      <c r="AU93" s="16"/>
      <c r="AV93" s="16"/>
      <c r="AW93" s="16"/>
      <c r="AX93" s="16"/>
      <c r="AY93" s="16"/>
      <c r="AZ93" s="16"/>
      <c r="BA93" s="16"/>
    </row>
    <row r="94" spans="3:53" ht="14.25" customHeight="1">
      <c r="AH94" s="16"/>
      <c r="AL94" s="16"/>
      <c r="AM94" s="16"/>
      <c r="AN94" s="16"/>
      <c r="AO94" s="16"/>
      <c r="AP94" s="16"/>
      <c r="AQ94" s="16"/>
      <c r="AR94" s="16"/>
      <c r="AS94" s="16"/>
      <c r="AT94" s="16"/>
      <c r="AU94" s="16"/>
      <c r="AV94" s="16"/>
      <c r="AW94" s="16"/>
      <c r="AX94" s="16"/>
      <c r="AY94" s="16"/>
      <c r="AZ94" s="16"/>
      <c r="BA94" s="16"/>
    </row>
    <row r="95" spans="3:53" ht="15" customHeight="1">
      <c r="AJ95" s="53"/>
      <c r="AL95" s="16"/>
      <c r="AM95" s="16"/>
      <c r="AN95" s="16"/>
      <c r="AO95" s="16"/>
    </row>
    <row r="96" spans="3:53" ht="15" customHeight="1">
      <c r="AJ96" s="53"/>
    </row>
    <row r="97" spans="36:36" ht="15" customHeight="1">
      <c r="AJ97" s="53"/>
    </row>
    <row r="98" spans="36:36">
      <c r="AJ98" s="53"/>
    </row>
    <row r="99" spans="36:36">
      <c r="AJ99" s="53"/>
    </row>
    <row r="101" spans="36:36" ht="15" customHeight="1">
      <c r="AJ101" s="53"/>
    </row>
    <row r="102" spans="36:36">
      <c r="AJ102" s="53"/>
    </row>
    <row r="103" spans="36:36" ht="14.25" customHeight="1"/>
  </sheetData>
  <mergeCells count="56">
    <mergeCell ref="AC4:AJ4"/>
    <mergeCell ref="E5:F6"/>
    <mergeCell ref="H5:O5"/>
    <mergeCell ref="Q5:AA5"/>
    <mergeCell ref="AI7:AJ7"/>
    <mergeCell ref="AC5:AD6"/>
    <mergeCell ref="AF5:AG6"/>
    <mergeCell ref="AI5:AJ6"/>
    <mergeCell ref="H6:I6"/>
    <mergeCell ref="K6:L6"/>
    <mergeCell ref="N6:O6"/>
    <mergeCell ref="Q6:R6"/>
    <mergeCell ref="T6:U6"/>
    <mergeCell ref="W6:X6"/>
    <mergeCell ref="Z6:AA6"/>
    <mergeCell ref="E7:F7"/>
    <mergeCell ref="Q7:AA7"/>
    <mergeCell ref="AC7:AD7"/>
    <mergeCell ref="AF7:AG7"/>
    <mergeCell ref="AI9:AJ9"/>
    <mergeCell ref="Q9:R9"/>
    <mergeCell ref="T9:U9"/>
    <mergeCell ref="W9:X9"/>
    <mergeCell ref="Z9:AA9"/>
    <mergeCell ref="AC9:AD9"/>
    <mergeCell ref="AF9:AG9"/>
    <mergeCell ref="E9:F9"/>
    <mergeCell ref="H9:I9"/>
    <mergeCell ref="K9:L9"/>
    <mergeCell ref="N9:O9"/>
    <mergeCell ref="H7:O7"/>
    <mergeCell ref="B4:D7"/>
    <mergeCell ref="E4:AA4"/>
    <mergeCell ref="B60:D63"/>
    <mergeCell ref="E60:AA60"/>
    <mergeCell ref="E61:F62"/>
    <mergeCell ref="H61:O61"/>
    <mergeCell ref="Q61:AA61"/>
    <mergeCell ref="Q62:R62"/>
    <mergeCell ref="T62:U62"/>
    <mergeCell ref="W62:X62"/>
    <mergeCell ref="Z62:AA62"/>
    <mergeCell ref="E63:F63"/>
    <mergeCell ref="H62:I62"/>
    <mergeCell ref="K62:L62"/>
    <mergeCell ref="N62:O62"/>
    <mergeCell ref="B9:D9"/>
    <mergeCell ref="AC60:AJ60"/>
    <mergeCell ref="AC61:AD62"/>
    <mergeCell ref="AF61:AG62"/>
    <mergeCell ref="AI61:AJ62"/>
    <mergeCell ref="H63:O63"/>
    <mergeCell ref="Q63:AA63"/>
    <mergeCell ref="AC63:AD63"/>
    <mergeCell ref="AF63:AG63"/>
    <mergeCell ref="AI63:AJ63"/>
  </mergeCells>
  <printOptions horizontalCentered="1"/>
  <pageMargins left="0.19685039370078741" right="0.19685039370078741" top="0.19685039370078741" bottom="0.19685039370078741" header="0" footer="0"/>
  <pageSetup paperSize="9" scale="70"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CR110"/>
  <sheetViews>
    <sheetView workbookViewId="0"/>
  </sheetViews>
  <sheetFormatPr defaultColWidth="9.109375" defaultRowHeight="13.8" outlineLevelCol="1"/>
  <cols>
    <col min="1" max="1" width="1.33203125" style="11" customWidth="1"/>
    <col min="2" max="2" width="2.6640625" style="11" bestFit="1" customWidth="1"/>
    <col min="3" max="3" width="0.88671875" style="11" customWidth="1"/>
    <col min="4" max="4" width="29.6640625" style="11" customWidth="1"/>
    <col min="5" max="5" width="5.6640625" style="11" hidden="1" customWidth="1" outlineLevel="1"/>
    <col min="6" max="6" width="1.33203125" style="11" hidden="1" customWidth="1" outlineLevel="1"/>
    <col min="7" max="7" width="5.6640625" style="11" hidden="1" customWidth="1" outlineLevel="1"/>
    <col min="8" max="8" width="1.33203125" style="11" hidden="1" customWidth="1" outlineLevel="1"/>
    <col min="9" max="9" width="5.6640625" style="11" hidden="1" customWidth="1" outlineLevel="1"/>
    <col min="10" max="10" width="1.33203125" style="11" hidden="1" customWidth="1" outlineLevel="1"/>
    <col min="11" max="11" width="5.6640625" style="11" hidden="1" customWidth="1" outlineLevel="1"/>
    <col min="12" max="12" width="1.33203125" style="11" hidden="1" customWidth="1" outlineLevel="1"/>
    <col min="13" max="13" width="5.6640625" style="11" hidden="1" customWidth="1" outlineLevel="1"/>
    <col min="14" max="14" width="1.33203125" style="11" hidden="1" customWidth="1" outlineLevel="1"/>
    <col min="15" max="15" width="5.6640625" style="11" hidden="1" customWidth="1" outlineLevel="1"/>
    <col min="16" max="16" width="1.33203125" style="11" hidden="1" customWidth="1" outlineLevel="1"/>
    <col min="17" max="17" width="5.6640625" style="11" hidden="1" customWidth="1" outlineLevel="1"/>
    <col min="18" max="18" width="1.33203125" style="11" hidden="1" customWidth="1" outlineLevel="1"/>
    <col min="19" max="19" width="5.5546875" style="11" hidden="1" customWidth="1" outlineLevel="1"/>
    <col min="20" max="20" width="1.33203125" style="11" hidden="1" customWidth="1" outlineLevel="1"/>
    <col min="21" max="21" width="5.6640625" style="11" hidden="1" customWidth="1" outlineLevel="1"/>
    <col min="22" max="22" width="1.33203125" style="11" hidden="1" customWidth="1" outlineLevel="1"/>
    <col min="23" max="23" width="5.6640625" style="11" hidden="1" customWidth="1" outlineLevel="1"/>
    <col min="24" max="24" width="1.33203125" style="11" hidden="1" customWidth="1" outlineLevel="1"/>
    <col min="25" max="25" width="5.6640625" style="11" hidden="1" customWidth="1" outlineLevel="1"/>
    <col min="26" max="26" width="1.33203125" style="11" hidden="1" customWidth="1" outlineLevel="1"/>
    <col min="27" max="27" width="5.6640625" style="11" hidden="1" customWidth="1" outlineLevel="1"/>
    <col min="28" max="28" width="0.88671875" style="11" hidden="1" customWidth="1" outlineLevel="1"/>
    <col min="29" max="29" width="5.6640625" style="11" hidden="1" customWidth="1" outlineLevel="1"/>
    <col min="30" max="30" width="1.33203125" style="11" hidden="1" customWidth="1" outlineLevel="1"/>
    <col min="31" max="31" width="5.6640625" style="11" hidden="1" customWidth="1" outlineLevel="1"/>
    <col min="32" max="32" width="1.33203125" style="11" hidden="1" customWidth="1" outlineLevel="1"/>
    <col min="33" max="33" width="5.6640625" style="11" hidden="1" customWidth="1" outlineLevel="1"/>
    <col min="34" max="34" width="1.33203125" style="11" hidden="1" customWidth="1" outlineLevel="1"/>
    <col min="35" max="35" width="5.6640625" style="11" hidden="1" customWidth="1" outlineLevel="1"/>
    <col min="36" max="36" width="1.33203125" style="11" hidden="1" customWidth="1" outlineLevel="1"/>
    <col min="37" max="37" width="5.6640625" style="11" customWidth="1" collapsed="1"/>
    <col min="38" max="38" width="1.33203125" style="11" customWidth="1"/>
    <col min="39" max="39" width="5.6640625" style="11" customWidth="1"/>
    <col min="40" max="40" width="1.33203125" style="11" customWidth="1"/>
    <col min="41" max="41" width="5.6640625" style="11" customWidth="1"/>
    <col min="42" max="42" width="1.33203125" style="11" customWidth="1"/>
    <col min="43" max="43" width="5.6640625" style="11" customWidth="1"/>
    <col min="44" max="44" width="1.33203125" style="11" customWidth="1"/>
    <col min="45" max="45" width="5.6640625" style="11" customWidth="1"/>
    <col min="46" max="46" width="1.33203125" style="11" customWidth="1"/>
    <col min="47" max="47" width="5.6640625" style="11" customWidth="1"/>
    <col min="48" max="48" width="1.33203125" style="11" customWidth="1"/>
    <col min="49" max="49" width="0.88671875" style="11" customWidth="1"/>
    <col min="50" max="50" width="36.6640625" style="11" customWidth="1"/>
    <col min="51" max="16384" width="9.109375" style="11"/>
  </cols>
  <sheetData>
    <row r="1" spans="2:60" ht="14.25" customHeight="1">
      <c r="B1" s="10" t="s">
        <v>1430</v>
      </c>
      <c r="C1" s="10"/>
      <c r="D1" s="2"/>
      <c r="E1" s="2"/>
      <c r="F1" s="2"/>
      <c r="G1" s="2"/>
      <c r="H1" s="2"/>
      <c r="I1" s="2"/>
      <c r="J1" s="2"/>
      <c r="K1" s="2"/>
      <c r="L1" s="2"/>
      <c r="M1" s="2"/>
      <c r="N1" s="2"/>
      <c r="O1" s="2"/>
      <c r="P1" s="2"/>
      <c r="Q1" s="2"/>
      <c r="R1" s="2"/>
    </row>
    <row r="2" spans="2:60" ht="14.25" customHeight="1">
      <c r="B2" s="156" t="s">
        <v>1431</v>
      </c>
      <c r="D2" s="10"/>
      <c r="E2" s="10"/>
      <c r="F2" s="10"/>
      <c r="G2" s="10"/>
      <c r="H2" s="10"/>
      <c r="I2" s="10"/>
      <c r="J2" s="10"/>
      <c r="K2" s="10"/>
      <c r="L2" s="10"/>
      <c r="M2" s="10"/>
      <c r="N2" s="10"/>
      <c r="O2" s="10"/>
      <c r="P2" s="10"/>
      <c r="Q2" s="10"/>
      <c r="R2" s="10"/>
    </row>
    <row r="3" spans="2:60" ht="6" customHeight="1">
      <c r="B3" s="13"/>
      <c r="C3" s="13"/>
      <c r="D3" s="62"/>
      <c r="E3" s="62"/>
      <c r="F3" s="62"/>
      <c r="G3" s="62"/>
      <c r="H3" s="62"/>
      <c r="I3" s="62"/>
      <c r="J3" s="62"/>
      <c r="K3" s="62"/>
      <c r="L3" s="62"/>
      <c r="M3" s="62"/>
      <c r="N3" s="62"/>
      <c r="O3" s="62"/>
      <c r="P3" s="62"/>
      <c r="Q3" s="62"/>
      <c r="R3" s="62"/>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row>
    <row r="4" spans="2:60" ht="6" customHeight="1">
      <c r="D4" s="10"/>
      <c r="E4" s="10"/>
      <c r="F4" s="10"/>
      <c r="G4" s="10"/>
      <c r="H4" s="10"/>
      <c r="I4" s="10"/>
      <c r="J4" s="10"/>
      <c r="K4" s="10"/>
      <c r="L4" s="10"/>
      <c r="M4" s="10"/>
      <c r="N4" s="10"/>
      <c r="O4" s="10"/>
      <c r="P4" s="10"/>
      <c r="Q4" s="10"/>
      <c r="R4" s="10"/>
    </row>
    <row r="5" spans="2:60" ht="12.75" customHeight="1">
      <c r="D5" s="152" t="s">
        <v>208</v>
      </c>
      <c r="E5" s="2"/>
      <c r="F5" s="2"/>
      <c r="G5" s="2"/>
      <c r="H5" s="2"/>
      <c r="I5" s="2"/>
      <c r="J5" s="2"/>
      <c r="K5" s="2"/>
      <c r="L5" s="2"/>
      <c r="M5" s="2"/>
      <c r="N5" s="2"/>
      <c r="O5" s="2"/>
      <c r="P5" s="2"/>
      <c r="Q5" s="2"/>
      <c r="R5" s="2"/>
      <c r="X5" s="152"/>
      <c r="AX5" s="186" t="s">
        <v>209</v>
      </c>
    </row>
    <row r="6" spans="2:60" ht="12.75" customHeight="1">
      <c r="D6" s="152" t="s">
        <v>210</v>
      </c>
      <c r="E6" s="2"/>
      <c r="F6" s="2"/>
      <c r="G6" s="2"/>
      <c r="H6" s="2"/>
      <c r="I6" s="2"/>
      <c r="J6" s="2"/>
      <c r="K6" s="2"/>
      <c r="L6" s="2"/>
      <c r="M6" s="2"/>
      <c r="N6" s="2"/>
      <c r="O6" s="2"/>
      <c r="P6" s="2"/>
      <c r="Q6" s="2"/>
      <c r="R6" s="2"/>
      <c r="X6" s="152"/>
      <c r="AA6" s="2"/>
      <c r="AB6" s="2"/>
      <c r="AC6" s="2"/>
      <c r="AD6" s="2"/>
      <c r="AE6" s="2"/>
      <c r="AF6" s="2"/>
      <c r="AG6" s="2"/>
      <c r="AH6" s="2"/>
      <c r="AI6" s="2"/>
      <c r="AJ6" s="2"/>
      <c r="AK6" s="2"/>
      <c r="AL6" s="2"/>
      <c r="AM6" s="2"/>
      <c r="AN6" s="2"/>
      <c r="AO6" s="2"/>
      <c r="AP6" s="2"/>
      <c r="AQ6" s="2"/>
      <c r="AR6" s="2"/>
      <c r="AS6" s="2"/>
      <c r="AT6" s="2"/>
      <c r="AU6" s="2"/>
      <c r="AV6" s="2"/>
      <c r="AW6" s="2"/>
      <c r="AX6" s="186" t="s">
        <v>211</v>
      </c>
    </row>
    <row r="7" spans="2:60" ht="12.75" customHeight="1">
      <c r="D7" s="152" t="s">
        <v>212</v>
      </c>
      <c r="E7" s="2"/>
      <c r="F7" s="2"/>
      <c r="G7" s="2"/>
      <c r="H7" s="2"/>
      <c r="I7" s="2"/>
      <c r="J7" s="2"/>
      <c r="K7" s="2"/>
      <c r="L7" s="2"/>
      <c r="M7" s="2"/>
      <c r="N7" s="2"/>
      <c r="O7" s="2"/>
      <c r="P7" s="2"/>
      <c r="Q7" s="2"/>
      <c r="R7" s="2"/>
      <c r="X7" s="152"/>
      <c r="AA7" s="2"/>
      <c r="AB7" s="2"/>
      <c r="AC7" s="2"/>
      <c r="AD7" s="2"/>
      <c r="AE7" s="2"/>
      <c r="AF7" s="2"/>
      <c r="AG7" s="2"/>
      <c r="AH7" s="2"/>
      <c r="AI7" s="2"/>
      <c r="AJ7" s="2"/>
      <c r="AK7" s="2"/>
      <c r="AL7" s="2"/>
      <c r="AM7" s="2"/>
      <c r="AN7" s="2"/>
      <c r="AO7" s="2"/>
      <c r="AP7" s="2"/>
      <c r="AQ7" s="2"/>
      <c r="AR7" s="2"/>
      <c r="AS7" s="2"/>
      <c r="AT7" s="2"/>
      <c r="AU7" s="2"/>
      <c r="AV7" s="2"/>
      <c r="AW7" s="2"/>
      <c r="AX7" s="186" t="s">
        <v>213</v>
      </c>
    </row>
    <row r="8" spans="2:60" ht="12.75" customHeight="1">
      <c r="D8" s="152" t="s">
        <v>214</v>
      </c>
      <c r="E8" s="2"/>
      <c r="F8" s="2"/>
      <c r="G8" s="2"/>
      <c r="H8" s="2"/>
      <c r="I8" s="2"/>
      <c r="J8" s="2"/>
      <c r="K8" s="2"/>
      <c r="L8" s="2"/>
      <c r="M8" s="2"/>
      <c r="N8" s="2"/>
      <c r="O8" s="2"/>
      <c r="P8" s="2"/>
      <c r="Q8" s="2"/>
      <c r="R8" s="2"/>
      <c r="X8" s="152"/>
      <c r="AX8" s="186" t="s">
        <v>215</v>
      </c>
    </row>
    <row r="9" spans="2:60" ht="12.75" customHeight="1">
      <c r="C9" s="10"/>
      <c r="D9" s="152" t="s">
        <v>216</v>
      </c>
      <c r="E9" s="2"/>
      <c r="F9" s="2"/>
      <c r="G9" s="2"/>
      <c r="H9" s="2"/>
      <c r="I9" s="2"/>
      <c r="J9" s="2"/>
      <c r="K9" s="2"/>
      <c r="L9" s="2"/>
      <c r="M9" s="2"/>
      <c r="N9" s="2"/>
      <c r="O9" s="2"/>
      <c r="P9" s="2"/>
      <c r="Q9" s="2"/>
      <c r="R9" s="2"/>
      <c r="X9" s="152"/>
      <c r="AX9" s="186" t="s">
        <v>217</v>
      </c>
    </row>
    <row r="10" spans="2:60" ht="12.75" customHeight="1">
      <c r="C10" s="10"/>
      <c r="D10" s="152" t="s">
        <v>812</v>
      </c>
      <c r="E10" s="2"/>
      <c r="F10" s="2"/>
      <c r="G10" s="2"/>
      <c r="H10" s="2"/>
      <c r="I10" s="2"/>
      <c r="J10" s="2"/>
      <c r="K10" s="2"/>
      <c r="L10" s="2"/>
      <c r="M10" s="2"/>
      <c r="N10" s="2"/>
      <c r="O10" s="2"/>
      <c r="P10" s="2"/>
      <c r="Q10" s="2"/>
      <c r="R10" s="2"/>
      <c r="X10" s="152"/>
      <c r="AX10" s="186" t="s">
        <v>813</v>
      </c>
    </row>
    <row r="11" spans="2:60" ht="6" customHeight="1">
      <c r="B11" s="4"/>
      <c r="C11" s="4"/>
      <c r="D11" s="4"/>
      <c r="E11" s="4"/>
      <c r="F11" s="4"/>
      <c r="G11" s="4"/>
      <c r="H11" s="4"/>
      <c r="I11" s="4"/>
      <c r="J11" s="4"/>
      <c r="K11" s="4"/>
      <c r="L11" s="4"/>
      <c r="M11" s="4"/>
      <c r="N11" s="4"/>
      <c r="O11" s="4"/>
      <c r="P11" s="4"/>
      <c r="Q11" s="4"/>
      <c r="R11" s="4"/>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row>
    <row r="12" spans="2:60" ht="6" customHeight="1">
      <c r="B12" s="2"/>
      <c r="C12" s="2"/>
      <c r="D12" s="2"/>
      <c r="E12" s="2"/>
      <c r="F12" s="2"/>
      <c r="G12" s="2"/>
      <c r="H12" s="2"/>
      <c r="I12" s="2"/>
      <c r="J12" s="2"/>
      <c r="K12" s="2"/>
      <c r="L12" s="2"/>
      <c r="M12" s="2"/>
      <c r="N12" s="2"/>
      <c r="O12" s="2"/>
      <c r="P12" s="2"/>
      <c r="Q12" s="2"/>
      <c r="R12" s="2"/>
    </row>
    <row r="13" spans="2:60" ht="14.25" customHeight="1">
      <c r="B13" s="523" t="s">
        <v>218</v>
      </c>
      <c r="C13" s="523"/>
      <c r="D13" s="523"/>
      <c r="E13" s="281">
        <v>2000</v>
      </c>
      <c r="F13" s="404"/>
      <c r="G13" s="281">
        <v>2001</v>
      </c>
      <c r="H13" s="404"/>
      <c r="I13" s="281">
        <v>2002</v>
      </c>
      <c r="J13" s="404"/>
      <c r="K13" s="281">
        <v>2003</v>
      </c>
      <c r="L13" s="404"/>
      <c r="M13" s="281">
        <v>2004</v>
      </c>
      <c r="N13" s="404"/>
      <c r="O13" s="281">
        <v>2005</v>
      </c>
      <c r="P13" s="404"/>
      <c r="Q13" s="281">
        <v>2006</v>
      </c>
      <c r="R13" s="404"/>
      <c r="S13" s="281">
        <v>2007</v>
      </c>
      <c r="T13" s="404"/>
      <c r="U13" s="281">
        <v>2008</v>
      </c>
      <c r="V13" s="404"/>
      <c r="W13" s="281">
        <v>2009</v>
      </c>
      <c r="X13" s="404"/>
      <c r="Y13" s="281">
        <v>2010</v>
      </c>
      <c r="Z13" s="404"/>
      <c r="AA13" s="281">
        <v>2011</v>
      </c>
      <c r="AB13" s="404"/>
      <c r="AC13" s="281">
        <v>2012</v>
      </c>
      <c r="AD13" s="404"/>
      <c r="AE13" s="281">
        <v>2013</v>
      </c>
      <c r="AF13" s="404"/>
      <c r="AG13" s="281">
        <v>2014</v>
      </c>
      <c r="AH13" s="404"/>
      <c r="AI13" s="281">
        <v>2015</v>
      </c>
      <c r="AJ13" s="404"/>
      <c r="AK13" s="281">
        <v>2016</v>
      </c>
      <c r="AL13" s="404"/>
      <c r="AM13" s="281">
        <v>2017</v>
      </c>
      <c r="AN13" s="404"/>
      <c r="AO13" s="281">
        <v>2018</v>
      </c>
      <c r="AP13" s="404"/>
      <c r="AQ13" s="281">
        <v>2019</v>
      </c>
      <c r="AR13" s="281"/>
      <c r="AS13" s="281">
        <v>2020</v>
      </c>
      <c r="AT13" s="281"/>
      <c r="AU13" s="281">
        <v>2021</v>
      </c>
      <c r="AV13" s="281"/>
      <c r="AW13" s="63"/>
      <c r="AX13" s="283" t="s">
        <v>219</v>
      </c>
    </row>
    <row r="14" spans="2:60" ht="6" customHeight="1">
      <c r="B14" s="80"/>
      <c r="C14" s="80"/>
      <c r="D14" s="80"/>
      <c r="E14" s="80"/>
      <c r="F14" s="81"/>
      <c r="G14" s="80"/>
      <c r="H14" s="81"/>
      <c r="I14" s="80"/>
      <c r="J14" s="81"/>
      <c r="K14" s="80"/>
      <c r="L14" s="81"/>
      <c r="M14" s="80"/>
      <c r="N14" s="81"/>
      <c r="O14" s="80"/>
      <c r="P14" s="81"/>
      <c r="Q14" s="80"/>
      <c r="R14" s="81"/>
      <c r="S14" s="80"/>
      <c r="T14" s="81"/>
      <c r="U14" s="80"/>
      <c r="V14" s="81"/>
      <c r="W14" s="80"/>
      <c r="X14" s="81"/>
      <c r="Y14" s="80"/>
      <c r="Z14" s="81"/>
      <c r="AA14" s="80"/>
      <c r="AB14" s="80"/>
      <c r="AC14" s="80"/>
      <c r="AD14" s="81"/>
      <c r="AE14" s="80"/>
      <c r="AF14" s="81"/>
      <c r="AG14" s="80"/>
      <c r="AH14" s="81"/>
      <c r="AI14" s="80"/>
      <c r="AJ14" s="81"/>
      <c r="AK14" s="80"/>
      <c r="AL14" s="81"/>
      <c r="AM14" s="80"/>
      <c r="AN14" s="81"/>
      <c r="AO14" s="80"/>
      <c r="AP14" s="81"/>
      <c r="AQ14" s="80"/>
      <c r="AR14" s="81"/>
      <c r="AS14" s="80"/>
      <c r="AT14" s="80"/>
      <c r="AU14" s="80"/>
      <c r="AV14" s="80"/>
      <c r="AW14" s="80"/>
      <c r="AX14" s="81"/>
    </row>
    <row r="15" spans="2:60" ht="6" customHeight="1">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row>
    <row r="16" spans="2:60" ht="10.5" customHeight="1">
      <c r="B16" s="42"/>
      <c r="C16" s="42"/>
      <c r="D16" s="63" t="s">
        <v>220</v>
      </c>
      <c r="E16" s="64"/>
      <c r="F16" s="27"/>
      <c r="G16" s="64"/>
      <c r="H16" s="27"/>
      <c r="I16" s="64"/>
      <c r="J16" s="27"/>
      <c r="K16" s="64"/>
      <c r="L16" s="27"/>
      <c r="M16" s="64"/>
      <c r="N16" s="27"/>
      <c r="O16" s="64"/>
      <c r="P16" s="27"/>
      <c r="Q16" s="64"/>
      <c r="R16" s="27"/>
      <c r="S16" s="64"/>
      <c r="T16" s="27"/>
      <c r="U16" s="64"/>
      <c r="V16" s="27"/>
      <c r="W16" s="64"/>
      <c r="X16" s="27"/>
      <c r="Y16" s="64"/>
      <c r="Z16" s="27"/>
      <c r="AA16" s="64"/>
      <c r="AB16" s="64"/>
      <c r="AC16" s="64"/>
      <c r="AD16" s="27"/>
      <c r="AE16" s="64"/>
      <c r="AF16" s="27"/>
      <c r="AG16" s="64"/>
      <c r="AH16" s="27"/>
      <c r="AI16" s="64"/>
      <c r="AJ16" s="27"/>
      <c r="AK16" s="64"/>
      <c r="AL16" s="27"/>
      <c r="AM16" s="64"/>
      <c r="AN16" s="27"/>
      <c r="AO16" s="64"/>
      <c r="AP16" s="27"/>
      <c r="AQ16" s="64"/>
      <c r="AR16" s="27"/>
      <c r="AS16" s="64"/>
      <c r="AT16" s="27"/>
      <c r="AU16" s="27"/>
      <c r="AV16" s="27"/>
      <c r="AW16" s="42"/>
      <c r="AX16" s="63" t="s">
        <v>221</v>
      </c>
      <c r="BF16" s="43"/>
      <c r="BG16" s="43"/>
      <c r="BH16" s="43"/>
    </row>
    <row r="17" spans="2:60" ht="10.5" customHeight="1">
      <c r="B17" s="42">
        <v>1</v>
      </c>
      <c r="C17" s="42"/>
      <c r="D17" s="18" t="s">
        <v>222</v>
      </c>
      <c r="E17" s="65">
        <v>15136.6</v>
      </c>
      <c r="F17" s="66"/>
      <c r="G17" s="65">
        <v>15274.6</v>
      </c>
      <c r="H17" s="66"/>
      <c r="I17" s="65">
        <v>15471.5</v>
      </c>
      <c r="J17" s="66"/>
      <c r="K17" s="65">
        <v>15364.5</v>
      </c>
      <c r="L17" s="66"/>
      <c r="M17" s="65">
        <v>15380.7</v>
      </c>
      <c r="N17" s="66"/>
      <c r="O17" s="65">
        <v>15359.7</v>
      </c>
      <c r="P17" s="66"/>
      <c r="Q17" s="65">
        <v>15317.7</v>
      </c>
      <c r="R17" s="66"/>
      <c r="S17" s="65">
        <v>15296.7</v>
      </c>
      <c r="T17" s="66"/>
      <c r="U17" s="65">
        <v>15350.7</v>
      </c>
      <c r="V17" s="66"/>
      <c r="W17" s="65">
        <v>15486.7</v>
      </c>
      <c r="X17" s="67"/>
      <c r="Y17" s="65">
        <v>15496.7</v>
      </c>
      <c r="Z17" s="67"/>
      <c r="AA17" s="65">
        <v>15600.7</v>
      </c>
      <c r="AB17" s="65"/>
      <c r="AC17" s="65">
        <v>15632.7</v>
      </c>
      <c r="AD17" s="68"/>
      <c r="AE17" s="65">
        <v>15467.7</v>
      </c>
      <c r="AF17" s="68"/>
      <c r="AG17" s="65">
        <v>15369.7</v>
      </c>
      <c r="AH17" s="78"/>
      <c r="AI17" s="65">
        <v>15423.7</v>
      </c>
      <c r="AJ17" s="68"/>
      <c r="AK17" s="65">
        <v>15458.792000000001</v>
      </c>
      <c r="AL17" s="68"/>
      <c r="AM17" s="65">
        <v>15567.792000000001</v>
      </c>
      <c r="AN17" s="68"/>
      <c r="AO17" s="65">
        <v>15571.392000000002</v>
      </c>
      <c r="AP17" s="68"/>
      <c r="AQ17" s="65">
        <v>15542.302</v>
      </c>
      <c r="AR17" s="68"/>
      <c r="AS17" s="65">
        <v>15556.871999999999</v>
      </c>
      <c r="AT17" s="68"/>
      <c r="AU17" s="65">
        <v>15542.692000000003</v>
      </c>
      <c r="AV17" s="68"/>
      <c r="AW17" s="42"/>
      <c r="AX17" s="18" t="s">
        <v>223</v>
      </c>
      <c r="AY17" s="82"/>
      <c r="BF17" s="82"/>
      <c r="BG17" s="82"/>
      <c r="BH17" s="82"/>
    </row>
    <row r="18" spans="2:60" ht="10.5" customHeight="1">
      <c r="B18" s="42">
        <v>2</v>
      </c>
      <c r="C18" s="42"/>
      <c r="D18" s="24" t="s">
        <v>505</v>
      </c>
      <c r="E18" s="17" t="s">
        <v>78</v>
      </c>
      <c r="F18" s="27"/>
      <c r="G18" s="17" t="s">
        <v>78</v>
      </c>
      <c r="H18" s="66"/>
      <c r="I18" s="28">
        <v>10713.5</v>
      </c>
      <c r="J18" s="17"/>
      <c r="K18" s="28">
        <v>10671.5</v>
      </c>
      <c r="L18" s="17"/>
      <c r="M18" s="28">
        <v>10795.7</v>
      </c>
      <c r="N18" s="17"/>
      <c r="O18" s="28">
        <v>10941.7</v>
      </c>
      <c r="P18" s="17"/>
      <c r="Q18" s="28">
        <v>11063.7</v>
      </c>
      <c r="R18" s="17"/>
      <c r="S18" s="28">
        <v>11253.7</v>
      </c>
      <c r="T18" s="17"/>
      <c r="U18" s="28">
        <v>11313.7</v>
      </c>
      <c r="V18" s="17"/>
      <c r="W18" s="28">
        <v>11466.7</v>
      </c>
      <c r="X18" s="23"/>
      <c r="Y18" s="28">
        <v>11512.7</v>
      </c>
      <c r="Z18" s="23"/>
      <c r="AA18" s="28">
        <v>11739.7</v>
      </c>
      <c r="AB18" s="28"/>
      <c r="AC18" s="28">
        <v>11951.7</v>
      </c>
      <c r="AD18" s="28"/>
      <c r="AE18" s="28">
        <v>12034.7</v>
      </c>
      <c r="AF18" s="28"/>
      <c r="AG18" s="28">
        <v>12138.7</v>
      </c>
      <c r="AH18" s="78"/>
      <c r="AI18" s="28">
        <v>12143.7</v>
      </c>
      <c r="AJ18" s="28"/>
      <c r="AK18" s="28">
        <v>12088.792000000001</v>
      </c>
      <c r="AL18" s="28"/>
      <c r="AM18" s="28">
        <v>12120.792000000001</v>
      </c>
      <c r="AN18" s="28"/>
      <c r="AO18" s="28">
        <v>12145.792000000001</v>
      </c>
      <c r="AP18" s="28"/>
      <c r="AQ18" s="28">
        <v>12142.691999999999</v>
      </c>
      <c r="AR18" s="28"/>
      <c r="AS18" s="28">
        <v>12165.842000000001</v>
      </c>
      <c r="AT18" s="28"/>
      <c r="AU18" s="28">
        <v>12152.222000000002</v>
      </c>
      <c r="AV18" s="28"/>
      <c r="AW18" s="42"/>
      <c r="AX18" s="24" t="s">
        <v>506</v>
      </c>
      <c r="BF18" s="82"/>
      <c r="BG18" s="82"/>
      <c r="BH18" s="82"/>
    </row>
    <row r="19" spans="2:60" ht="6" customHeight="1">
      <c r="B19" s="34"/>
      <c r="C19" s="34"/>
      <c r="D19" s="70"/>
      <c r="E19" s="71"/>
      <c r="F19" s="72"/>
      <c r="G19" s="71"/>
      <c r="H19" s="72"/>
      <c r="I19" s="71"/>
      <c r="J19" s="72"/>
      <c r="K19" s="71"/>
      <c r="L19" s="72"/>
      <c r="M19" s="71"/>
      <c r="N19" s="72"/>
      <c r="O19" s="71"/>
      <c r="P19" s="72"/>
      <c r="Q19" s="71"/>
      <c r="R19" s="72"/>
      <c r="S19" s="73"/>
      <c r="T19" s="72"/>
      <c r="U19" s="71"/>
      <c r="V19" s="72"/>
      <c r="W19" s="71"/>
      <c r="X19" s="40"/>
      <c r="Y19" s="71"/>
      <c r="Z19" s="40"/>
      <c r="AA19" s="71"/>
      <c r="AB19" s="71"/>
      <c r="AC19" s="71"/>
      <c r="AD19" s="74"/>
      <c r="AE19" s="71"/>
      <c r="AF19" s="74"/>
      <c r="AG19" s="71"/>
      <c r="AH19" s="74"/>
      <c r="AI19" s="71"/>
      <c r="AJ19" s="74"/>
      <c r="AK19" s="71"/>
      <c r="AL19" s="74"/>
      <c r="AM19" s="71"/>
      <c r="AN19" s="74"/>
      <c r="AO19" s="71"/>
      <c r="AP19" s="74"/>
      <c r="AQ19" s="71"/>
      <c r="AR19" s="74"/>
      <c r="AS19" s="71"/>
      <c r="AT19" s="74"/>
      <c r="AU19" s="74"/>
      <c r="AV19" s="74"/>
      <c r="AW19" s="34"/>
      <c r="AX19" s="70"/>
    </row>
    <row r="20" spans="2:60" ht="6" customHeight="1">
      <c r="B20" s="42"/>
      <c r="C20" s="42"/>
      <c r="D20" s="16"/>
      <c r="E20" s="28"/>
      <c r="F20" s="27"/>
      <c r="G20" s="28"/>
      <c r="H20" s="27"/>
      <c r="I20" s="28"/>
      <c r="J20" s="27"/>
      <c r="K20" s="28"/>
      <c r="L20" s="27"/>
      <c r="M20" s="28"/>
      <c r="N20" s="27"/>
      <c r="O20" s="28"/>
      <c r="P20" s="27"/>
      <c r="Q20" s="28"/>
      <c r="R20" s="27"/>
      <c r="S20" s="28"/>
      <c r="T20" s="27"/>
      <c r="U20" s="28"/>
      <c r="V20" s="27"/>
      <c r="W20" s="28"/>
      <c r="X20" s="23"/>
      <c r="Y20" s="28"/>
      <c r="Z20" s="23"/>
      <c r="AA20" s="28"/>
      <c r="AB20" s="28"/>
      <c r="AC20" s="28"/>
      <c r="AD20" s="68"/>
      <c r="AE20" s="28"/>
      <c r="AF20" s="68"/>
      <c r="AG20" s="28"/>
      <c r="AH20" s="68"/>
      <c r="AI20" s="28"/>
      <c r="AJ20" s="68"/>
      <c r="AK20" s="28"/>
      <c r="AL20" s="68"/>
      <c r="AM20" s="28"/>
      <c r="AN20" s="68"/>
      <c r="AO20" s="28"/>
      <c r="AP20" s="68"/>
      <c r="AQ20" s="28"/>
      <c r="AR20" s="68"/>
      <c r="AS20" s="28"/>
      <c r="AT20" s="68"/>
      <c r="AU20" s="68"/>
      <c r="AV20" s="68"/>
      <c r="AW20" s="42"/>
      <c r="AX20" s="16"/>
    </row>
    <row r="21" spans="2:60" ht="10.5" customHeight="1">
      <c r="B21" s="42"/>
      <c r="C21" s="42"/>
      <c r="D21" s="63" t="s">
        <v>224</v>
      </c>
      <c r="E21" s="28"/>
      <c r="F21" s="27"/>
      <c r="G21" s="28"/>
      <c r="H21" s="27"/>
      <c r="I21" s="28"/>
      <c r="J21" s="27"/>
      <c r="K21" s="28"/>
      <c r="L21" s="27"/>
      <c r="M21" s="28"/>
      <c r="N21" s="27"/>
      <c r="O21" s="28"/>
      <c r="P21" s="27"/>
      <c r="Q21" s="28"/>
      <c r="R21" s="27"/>
      <c r="S21" s="28"/>
      <c r="T21" s="27"/>
      <c r="U21" s="28"/>
      <c r="V21" s="27"/>
      <c r="W21" s="28"/>
      <c r="X21" s="23"/>
      <c r="Y21" s="28"/>
      <c r="Z21" s="23"/>
      <c r="AA21" s="28"/>
      <c r="AB21" s="28"/>
      <c r="AC21" s="28"/>
      <c r="AD21" s="68"/>
      <c r="AE21" s="28"/>
      <c r="AF21" s="68"/>
      <c r="AG21" s="28"/>
      <c r="AH21" s="68"/>
      <c r="AI21" s="28"/>
      <c r="AJ21" s="68"/>
      <c r="AK21" s="28"/>
      <c r="AL21" s="68"/>
      <c r="AM21" s="28"/>
      <c r="AN21" s="68"/>
      <c r="AO21" s="28"/>
      <c r="AP21" s="68"/>
      <c r="AQ21" s="28"/>
      <c r="AR21" s="68"/>
      <c r="AS21" s="28"/>
      <c r="AT21" s="68"/>
      <c r="AU21" s="68"/>
      <c r="AV21" s="68"/>
      <c r="AW21" s="42"/>
      <c r="AX21" s="63" t="s">
        <v>225</v>
      </c>
    </row>
    <row r="22" spans="2:60" ht="10.5" customHeight="1">
      <c r="B22" s="42">
        <v>3</v>
      </c>
      <c r="C22" s="42"/>
      <c r="D22" s="16" t="s">
        <v>226</v>
      </c>
      <c r="E22" s="28">
        <v>9328.2000000000007</v>
      </c>
      <c r="F22" s="27"/>
      <c r="G22" s="28">
        <v>9302.2000000000007</v>
      </c>
      <c r="H22" s="27"/>
      <c r="I22" s="28">
        <v>9355.6</v>
      </c>
      <c r="J22" s="27"/>
      <c r="K22" s="28">
        <v>9269.6</v>
      </c>
      <c r="L22" s="27"/>
      <c r="M22" s="28">
        <v>9257.6</v>
      </c>
      <c r="N22" s="27"/>
      <c r="O22" s="28">
        <v>9232.6</v>
      </c>
      <c r="P22" s="27"/>
      <c r="Q22" s="28">
        <v>9216.6</v>
      </c>
      <c r="R22" s="27"/>
      <c r="S22" s="28">
        <v>9165.6</v>
      </c>
      <c r="T22" s="17"/>
      <c r="U22" s="28">
        <v>9205.6</v>
      </c>
      <c r="V22" s="27"/>
      <c r="W22" s="28">
        <v>9307.6</v>
      </c>
      <c r="X22" s="23"/>
      <c r="Y22" s="28">
        <v>9295.6</v>
      </c>
      <c r="Z22" s="23"/>
      <c r="AA22" s="28">
        <v>9320.6</v>
      </c>
      <c r="AB22" s="28"/>
      <c r="AC22" s="28">
        <v>9189.6</v>
      </c>
      <c r="AD22" s="68"/>
      <c r="AE22" s="28">
        <v>9009.6</v>
      </c>
      <c r="AF22" s="68"/>
      <c r="AG22" s="28">
        <v>8931.6</v>
      </c>
      <c r="AH22" s="68"/>
      <c r="AI22" s="28">
        <v>8944.6</v>
      </c>
      <c r="AJ22" s="68"/>
      <c r="AK22" s="28">
        <v>8872.4</v>
      </c>
      <c r="AL22" s="68"/>
      <c r="AM22" s="28">
        <v>8837.4</v>
      </c>
      <c r="AN22" s="68"/>
      <c r="AO22" s="28">
        <v>8859.5</v>
      </c>
      <c r="AP22" s="68"/>
      <c r="AQ22" s="28">
        <v>8849.9600000000009</v>
      </c>
      <c r="AR22" s="68"/>
      <c r="AS22" s="28">
        <v>8853.18</v>
      </c>
      <c r="AT22" s="68"/>
      <c r="AU22" s="28">
        <v>8853.77</v>
      </c>
      <c r="AV22" s="68"/>
      <c r="AW22" s="42"/>
      <c r="AX22" s="16" t="s">
        <v>227</v>
      </c>
    </row>
    <row r="23" spans="2:60" ht="10.5" customHeight="1">
      <c r="B23" s="42">
        <v>4</v>
      </c>
      <c r="C23" s="42"/>
      <c r="D23" s="24" t="s">
        <v>228</v>
      </c>
      <c r="E23" s="28">
        <v>52.2</v>
      </c>
      <c r="F23" s="27"/>
      <c r="G23" s="28">
        <v>52.2</v>
      </c>
      <c r="H23" s="27"/>
      <c r="I23" s="28">
        <v>52.2</v>
      </c>
      <c r="J23" s="27"/>
      <c r="K23" s="28">
        <v>52.2</v>
      </c>
      <c r="L23" s="27"/>
      <c r="M23" s="28">
        <v>52.2</v>
      </c>
      <c r="N23" s="27"/>
      <c r="O23" s="28">
        <v>52.2</v>
      </c>
      <c r="P23" s="27"/>
      <c r="Q23" s="28">
        <v>52.2</v>
      </c>
      <c r="R23" s="27"/>
      <c r="S23" s="25">
        <v>52.2</v>
      </c>
      <c r="T23" s="27"/>
      <c r="U23" s="28">
        <v>52.2</v>
      </c>
      <c r="V23" s="27"/>
      <c r="W23" s="28">
        <v>52.2</v>
      </c>
      <c r="X23" s="23"/>
      <c r="Y23" s="28">
        <v>52.2</v>
      </c>
      <c r="Z23" s="23"/>
      <c r="AA23" s="28">
        <v>52.2</v>
      </c>
      <c r="AB23" s="28"/>
      <c r="AC23" s="28">
        <v>52.2</v>
      </c>
      <c r="AD23" s="68"/>
      <c r="AE23" s="28">
        <v>52.2</v>
      </c>
      <c r="AF23" s="68"/>
      <c r="AG23" s="28">
        <v>52.2</v>
      </c>
      <c r="AH23" s="68"/>
      <c r="AI23" s="28">
        <v>52.2</v>
      </c>
      <c r="AJ23" s="68"/>
      <c r="AK23" s="28">
        <v>37</v>
      </c>
      <c r="AL23" s="68"/>
      <c r="AM23" s="28">
        <v>37</v>
      </c>
      <c r="AN23" s="68"/>
      <c r="AO23" s="28">
        <v>31.3</v>
      </c>
      <c r="AP23" s="68"/>
      <c r="AQ23" s="28">
        <v>31.3</v>
      </c>
      <c r="AR23" s="68"/>
      <c r="AS23" s="28">
        <v>31.3</v>
      </c>
      <c r="AT23" s="68"/>
      <c r="AU23" s="28">
        <v>28.9</v>
      </c>
      <c r="AV23" s="68"/>
      <c r="AW23" s="42"/>
      <c r="AX23" s="24" t="s">
        <v>229</v>
      </c>
    </row>
    <row r="24" spans="2:60" ht="10.5" customHeight="1">
      <c r="B24" s="42">
        <v>5</v>
      </c>
      <c r="C24" s="42"/>
      <c r="D24" s="16" t="s">
        <v>230</v>
      </c>
      <c r="E24" s="28">
        <v>1708.6</v>
      </c>
      <c r="F24" s="27"/>
      <c r="G24" s="28">
        <v>1718.6</v>
      </c>
      <c r="H24" s="27"/>
      <c r="I24" s="28">
        <v>1739.6</v>
      </c>
      <c r="J24" s="27"/>
      <c r="K24" s="28">
        <v>1767.6</v>
      </c>
      <c r="L24" s="27"/>
      <c r="M24" s="28">
        <v>1792.6</v>
      </c>
      <c r="N24" s="27"/>
      <c r="O24" s="28">
        <v>1784.6</v>
      </c>
      <c r="P24" s="27"/>
      <c r="Q24" s="28">
        <v>1803.6</v>
      </c>
      <c r="R24" s="27"/>
      <c r="S24" s="28">
        <v>1806.6</v>
      </c>
      <c r="T24" s="27"/>
      <c r="U24" s="28">
        <v>1826.6</v>
      </c>
      <c r="V24" s="27"/>
      <c r="W24" s="28">
        <v>1841.6</v>
      </c>
      <c r="X24" s="23"/>
      <c r="Y24" s="28">
        <v>1864.6</v>
      </c>
      <c r="Z24" s="23"/>
      <c r="AA24" s="28">
        <v>1885.6</v>
      </c>
      <c r="AB24" s="28"/>
      <c r="AC24" s="28">
        <v>1946.6</v>
      </c>
      <c r="AD24" s="68"/>
      <c r="AE24" s="28">
        <v>1947.6</v>
      </c>
      <c r="AF24" s="68"/>
      <c r="AG24" s="28">
        <v>1949.6</v>
      </c>
      <c r="AH24" s="68"/>
      <c r="AI24" s="28">
        <v>1963.6</v>
      </c>
      <c r="AJ24" s="68"/>
      <c r="AK24" s="28">
        <v>2009.346</v>
      </c>
      <c r="AL24" s="68"/>
      <c r="AM24" s="28">
        <v>2036.346</v>
      </c>
      <c r="AN24" s="68"/>
      <c r="AO24" s="28">
        <v>2046.046</v>
      </c>
      <c r="AP24" s="68"/>
      <c r="AQ24" s="28">
        <v>2049.0459999999998</v>
      </c>
      <c r="AR24" s="68"/>
      <c r="AS24" s="28">
        <v>2056.2459999999996</v>
      </c>
      <c r="AT24" s="68"/>
      <c r="AU24" s="28">
        <v>2058.3559999999998</v>
      </c>
      <c r="AV24" s="68"/>
      <c r="AW24" s="42"/>
      <c r="AX24" s="16" t="s">
        <v>90</v>
      </c>
    </row>
    <row r="25" spans="2:60" ht="10.5" customHeight="1">
      <c r="B25" s="42">
        <v>6</v>
      </c>
      <c r="C25" s="42"/>
      <c r="D25" s="24" t="s">
        <v>228</v>
      </c>
      <c r="E25" s="28">
        <v>13.1</v>
      </c>
      <c r="F25" s="27"/>
      <c r="G25" s="28">
        <v>13.1</v>
      </c>
      <c r="H25" s="27"/>
      <c r="I25" s="28">
        <v>13.1</v>
      </c>
      <c r="J25" s="27"/>
      <c r="K25" s="28">
        <v>13.1</v>
      </c>
      <c r="L25" s="27"/>
      <c r="M25" s="28">
        <v>13.1</v>
      </c>
      <c r="N25" s="27"/>
      <c r="O25" s="28">
        <v>13.1</v>
      </c>
      <c r="P25" s="27"/>
      <c r="Q25" s="28">
        <v>13.1</v>
      </c>
      <c r="R25" s="27"/>
      <c r="S25" s="25">
        <v>13.1</v>
      </c>
      <c r="T25" s="27"/>
      <c r="U25" s="28">
        <v>13.1</v>
      </c>
      <c r="V25" s="27"/>
      <c r="W25" s="28">
        <v>13.1</v>
      </c>
      <c r="X25" s="23"/>
      <c r="Y25" s="28">
        <v>13.1</v>
      </c>
      <c r="Z25" s="23"/>
      <c r="AA25" s="28">
        <v>13.1</v>
      </c>
      <c r="AB25" s="28"/>
      <c r="AC25" s="28">
        <v>13.1</v>
      </c>
      <c r="AD25" s="68"/>
      <c r="AE25" s="28">
        <v>13.1</v>
      </c>
      <c r="AF25" s="68"/>
      <c r="AG25" s="28">
        <v>13.1</v>
      </c>
      <c r="AH25" s="68"/>
      <c r="AI25" s="28">
        <v>13.1</v>
      </c>
      <c r="AJ25" s="68"/>
      <c r="AK25" s="28">
        <v>28.3</v>
      </c>
      <c r="AL25" s="68"/>
      <c r="AM25" s="28">
        <v>28.3</v>
      </c>
      <c r="AN25" s="68"/>
      <c r="AO25" s="28">
        <v>34</v>
      </c>
      <c r="AP25" s="68"/>
      <c r="AQ25" s="28">
        <v>34</v>
      </c>
      <c r="AR25" s="68"/>
      <c r="AS25" s="28">
        <v>34</v>
      </c>
      <c r="AT25" s="68"/>
      <c r="AU25" s="28">
        <v>36.6</v>
      </c>
      <c r="AV25" s="68"/>
      <c r="AW25" s="42"/>
      <c r="AX25" s="24" t="s">
        <v>229</v>
      </c>
    </row>
    <row r="26" spans="2:60" ht="10.5" customHeight="1">
      <c r="B26" s="42">
        <v>7</v>
      </c>
      <c r="C26" s="42"/>
      <c r="D26" s="18" t="s">
        <v>231</v>
      </c>
      <c r="E26" s="65">
        <v>11036.8</v>
      </c>
      <c r="F26" s="69"/>
      <c r="G26" s="65">
        <v>11020.8</v>
      </c>
      <c r="H26" s="69"/>
      <c r="I26" s="65">
        <v>11095.2</v>
      </c>
      <c r="J26" s="69"/>
      <c r="K26" s="65">
        <v>11037.2</v>
      </c>
      <c r="L26" s="69"/>
      <c r="M26" s="65">
        <v>11050.2</v>
      </c>
      <c r="N26" s="69"/>
      <c r="O26" s="65">
        <v>11017.2</v>
      </c>
      <c r="P26" s="69"/>
      <c r="Q26" s="65">
        <v>11020.2</v>
      </c>
      <c r="R26" s="69"/>
      <c r="S26" s="65">
        <v>10972.2</v>
      </c>
      <c r="T26" s="69"/>
      <c r="U26" s="65">
        <v>11032.2</v>
      </c>
      <c r="V26" s="69"/>
      <c r="W26" s="65">
        <v>11149.2</v>
      </c>
      <c r="X26" s="67"/>
      <c r="Y26" s="65">
        <v>11160.2</v>
      </c>
      <c r="Z26" s="67"/>
      <c r="AA26" s="65">
        <v>11206.2</v>
      </c>
      <c r="AB26" s="65"/>
      <c r="AC26" s="65">
        <v>11136.2</v>
      </c>
      <c r="AD26" s="68"/>
      <c r="AE26" s="65">
        <v>10957.2</v>
      </c>
      <c r="AF26" s="68"/>
      <c r="AG26" s="65">
        <v>10881.2</v>
      </c>
      <c r="AH26" s="68"/>
      <c r="AI26" s="65">
        <v>10908.2</v>
      </c>
      <c r="AJ26" s="68"/>
      <c r="AK26" s="65">
        <v>10881.746000000001</v>
      </c>
      <c r="AL26" s="68"/>
      <c r="AM26" s="65">
        <v>10873.746000000001</v>
      </c>
      <c r="AN26" s="68"/>
      <c r="AO26" s="65">
        <v>10905.546</v>
      </c>
      <c r="AP26" s="68"/>
      <c r="AQ26" s="65">
        <v>10899.006000000001</v>
      </c>
      <c r="AR26" s="68"/>
      <c r="AS26" s="65">
        <v>10909.426000000001</v>
      </c>
      <c r="AT26" s="68"/>
      <c r="AU26" s="65">
        <v>10912.126</v>
      </c>
      <c r="AV26" s="68"/>
      <c r="AW26" s="42"/>
      <c r="AX26" s="18" t="s">
        <v>84</v>
      </c>
      <c r="AY26" s="82"/>
    </row>
    <row r="27" spans="2:60" ht="10.5" customHeight="1">
      <c r="B27" s="42">
        <v>8</v>
      </c>
      <c r="C27" s="42"/>
      <c r="D27" s="24" t="s">
        <v>232</v>
      </c>
      <c r="E27" s="17">
        <v>649</v>
      </c>
      <c r="F27" s="27"/>
      <c r="G27" s="17" t="s">
        <v>78</v>
      </c>
      <c r="H27" s="27"/>
      <c r="I27" s="17" t="s">
        <v>78</v>
      </c>
      <c r="J27" s="27"/>
      <c r="K27" s="17" t="s">
        <v>78</v>
      </c>
      <c r="L27" s="23"/>
      <c r="M27" s="17" t="s">
        <v>78</v>
      </c>
      <c r="N27" s="23"/>
      <c r="O27" s="17" t="s">
        <v>78</v>
      </c>
      <c r="P27" s="27"/>
      <c r="Q27" s="17" t="s">
        <v>78</v>
      </c>
      <c r="R27" s="27"/>
      <c r="S27" s="17" t="s">
        <v>78</v>
      </c>
      <c r="T27" s="27"/>
      <c r="U27" s="17" t="s">
        <v>78</v>
      </c>
      <c r="V27" s="23"/>
      <c r="W27" s="17" t="s">
        <v>78</v>
      </c>
      <c r="X27" s="23"/>
      <c r="Y27" s="17" t="s">
        <v>78</v>
      </c>
      <c r="Z27" s="23"/>
      <c r="AA27" s="17" t="s">
        <v>78</v>
      </c>
      <c r="AB27" s="17"/>
      <c r="AC27" s="17" t="s">
        <v>78</v>
      </c>
      <c r="AD27" s="68"/>
      <c r="AE27" s="17" t="s">
        <v>78</v>
      </c>
      <c r="AF27" s="68"/>
      <c r="AG27" s="17" t="s">
        <v>78</v>
      </c>
      <c r="AH27" s="68"/>
      <c r="AI27" s="17" t="s">
        <v>78</v>
      </c>
      <c r="AJ27" s="68"/>
      <c r="AK27" s="17" t="s">
        <v>78</v>
      </c>
      <c r="AL27" s="68"/>
      <c r="AM27" s="17" t="s">
        <v>78</v>
      </c>
      <c r="AN27" s="68"/>
      <c r="AO27" s="17" t="s">
        <v>78</v>
      </c>
      <c r="AP27" s="68"/>
      <c r="AQ27" s="17" t="s">
        <v>78</v>
      </c>
      <c r="AR27" s="68"/>
      <c r="AS27" s="17" t="s">
        <v>78</v>
      </c>
      <c r="AT27" s="68"/>
      <c r="AU27" s="17" t="s">
        <v>78</v>
      </c>
      <c r="AV27" s="68"/>
      <c r="AW27" s="42"/>
      <c r="AX27" s="24" t="s">
        <v>233</v>
      </c>
      <c r="BB27" s="82"/>
    </row>
    <row r="28" spans="2:60" ht="10.5" customHeight="1">
      <c r="B28" s="42">
        <v>9</v>
      </c>
      <c r="C28" s="42"/>
      <c r="D28" s="24" t="s">
        <v>234</v>
      </c>
      <c r="E28" s="28">
        <v>1511</v>
      </c>
      <c r="F28" s="27"/>
      <c r="G28" s="17" t="s">
        <v>78</v>
      </c>
      <c r="H28" s="27"/>
      <c r="I28" s="17" t="s">
        <v>78</v>
      </c>
      <c r="J28" s="27"/>
      <c r="K28" s="17" t="s">
        <v>78</v>
      </c>
      <c r="L28" s="23"/>
      <c r="M28" s="17" t="s">
        <v>78</v>
      </c>
      <c r="N28" s="23"/>
      <c r="O28" s="17" t="s">
        <v>78</v>
      </c>
      <c r="P28" s="27"/>
      <c r="Q28" s="17" t="s">
        <v>78</v>
      </c>
      <c r="R28" s="27"/>
      <c r="S28" s="17" t="s">
        <v>78</v>
      </c>
      <c r="T28" s="27"/>
      <c r="U28" s="17" t="s">
        <v>78</v>
      </c>
      <c r="V28" s="23"/>
      <c r="W28" s="17" t="s">
        <v>78</v>
      </c>
      <c r="X28" s="23"/>
      <c r="Y28" s="17" t="s">
        <v>78</v>
      </c>
      <c r="Z28" s="23"/>
      <c r="AA28" s="17" t="s">
        <v>78</v>
      </c>
      <c r="AB28" s="17"/>
      <c r="AC28" s="17" t="s">
        <v>78</v>
      </c>
      <c r="AD28" s="68"/>
      <c r="AE28" s="17" t="s">
        <v>78</v>
      </c>
      <c r="AF28" s="68"/>
      <c r="AG28" s="17" t="s">
        <v>78</v>
      </c>
      <c r="AH28" s="68"/>
      <c r="AI28" s="17" t="s">
        <v>78</v>
      </c>
      <c r="AJ28" s="68"/>
      <c r="AK28" s="17" t="s">
        <v>78</v>
      </c>
      <c r="AL28" s="68"/>
      <c r="AM28" s="17" t="s">
        <v>78</v>
      </c>
      <c r="AN28" s="68"/>
      <c r="AO28" s="17" t="s">
        <v>78</v>
      </c>
      <c r="AP28" s="68"/>
      <c r="AQ28" s="17" t="s">
        <v>78</v>
      </c>
      <c r="AR28" s="68"/>
      <c r="AS28" s="17" t="s">
        <v>78</v>
      </c>
      <c r="AT28" s="68"/>
      <c r="AU28" s="17" t="s">
        <v>78</v>
      </c>
      <c r="AV28" s="68"/>
      <c r="AW28" s="42"/>
      <c r="AX28" s="24" t="s">
        <v>235</v>
      </c>
      <c r="BA28" s="82"/>
    </row>
    <row r="29" spans="2:60" ht="6" customHeight="1">
      <c r="B29" s="34"/>
      <c r="C29" s="34"/>
      <c r="D29" s="70"/>
      <c r="E29" s="71"/>
      <c r="F29" s="72"/>
      <c r="G29" s="71"/>
      <c r="H29" s="72"/>
      <c r="I29" s="71"/>
      <c r="J29" s="72"/>
      <c r="K29" s="71"/>
      <c r="L29" s="72"/>
      <c r="M29" s="71"/>
      <c r="N29" s="72"/>
      <c r="O29" s="71"/>
      <c r="P29" s="72"/>
      <c r="Q29" s="71"/>
      <c r="R29" s="72"/>
      <c r="S29" s="73"/>
      <c r="T29" s="72"/>
      <c r="U29" s="71"/>
      <c r="V29" s="72"/>
      <c r="W29" s="71"/>
      <c r="X29" s="40"/>
      <c r="Y29" s="71"/>
      <c r="Z29" s="40"/>
      <c r="AA29" s="71"/>
      <c r="AB29" s="71"/>
      <c r="AC29" s="71"/>
      <c r="AD29" s="74"/>
      <c r="AE29" s="71"/>
      <c r="AF29" s="74"/>
      <c r="AG29" s="71"/>
      <c r="AH29" s="74"/>
      <c r="AI29" s="71"/>
      <c r="AJ29" s="74"/>
      <c r="AK29" s="71"/>
      <c r="AL29" s="74"/>
      <c r="AM29" s="71"/>
      <c r="AN29" s="74"/>
      <c r="AO29" s="71"/>
      <c r="AP29" s="74"/>
      <c r="AQ29" s="71"/>
      <c r="AR29" s="74"/>
      <c r="AS29" s="71"/>
      <c r="AT29" s="74"/>
      <c r="AU29" s="74"/>
      <c r="AV29" s="74"/>
      <c r="AW29" s="34"/>
      <c r="AX29" s="70"/>
    </row>
    <row r="30" spans="2:60" ht="6" customHeight="1">
      <c r="B30" s="42"/>
      <c r="C30" s="42"/>
      <c r="D30" s="16"/>
      <c r="E30" s="28"/>
      <c r="F30" s="27"/>
      <c r="G30" s="28"/>
      <c r="H30" s="27"/>
      <c r="I30" s="28"/>
      <c r="J30" s="27"/>
      <c r="K30" s="28"/>
      <c r="L30" s="27"/>
      <c r="M30" s="28"/>
      <c r="N30" s="27"/>
      <c r="O30" s="28"/>
      <c r="P30" s="27"/>
      <c r="Q30" s="28"/>
      <c r="R30" s="27"/>
      <c r="S30" s="75"/>
      <c r="T30" s="27"/>
      <c r="U30" s="28"/>
      <c r="V30" s="27"/>
      <c r="W30" s="28"/>
      <c r="X30" s="23"/>
      <c r="Y30" s="28"/>
      <c r="Z30" s="23"/>
      <c r="AA30" s="28"/>
      <c r="AB30" s="28"/>
      <c r="AC30" s="28"/>
      <c r="AD30" s="68"/>
      <c r="AE30" s="28"/>
      <c r="AF30" s="68"/>
      <c r="AG30" s="28"/>
      <c r="AH30" s="68"/>
      <c r="AI30" s="28"/>
      <c r="AJ30" s="68"/>
      <c r="AK30" s="28"/>
      <c r="AL30" s="68"/>
      <c r="AM30" s="28"/>
      <c r="AN30" s="68"/>
      <c r="AO30" s="28"/>
      <c r="AP30" s="68"/>
      <c r="AQ30" s="28"/>
      <c r="AR30" s="68"/>
      <c r="AS30" s="28"/>
      <c r="AT30" s="68"/>
      <c r="AU30" s="68"/>
      <c r="AV30" s="68"/>
      <c r="AW30" s="42"/>
      <c r="AX30" s="16"/>
    </row>
    <row r="31" spans="2:60" ht="10.5" customHeight="1">
      <c r="B31" s="42"/>
      <c r="C31" s="42"/>
      <c r="D31" s="63" t="s">
        <v>236</v>
      </c>
      <c r="E31" s="28"/>
      <c r="F31" s="27"/>
      <c r="G31" s="28"/>
      <c r="H31" s="27"/>
      <c r="I31" s="28"/>
      <c r="J31" s="27"/>
      <c r="K31" s="28"/>
      <c r="L31" s="27"/>
      <c r="M31" s="28"/>
      <c r="N31" s="27"/>
      <c r="O31" s="28"/>
      <c r="P31" s="27"/>
      <c r="Q31" s="28"/>
      <c r="R31" s="27"/>
      <c r="S31" s="16"/>
      <c r="T31" s="27"/>
      <c r="U31" s="28"/>
      <c r="V31" s="27"/>
      <c r="W31" s="28"/>
      <c r="X31" s="23"/>
      <c r="Y31" s="28"/>
      <c r="Z31" s="23"/>
      <c r="AA31" s="28"/>
      <c r="AB31" s="28"/>
      <c r="AC31" s="28"/>
      <c r="AD31" s="68"/>
      <c r="AE31" s="28"/>
      <c r="AF31" s="68"/>
      <c r="AG31" s="28"/>
      <c r="AH31" s="68"/>
      <c r="AI31" s="28"/>
      <c r="AJ31" s="68"/>
      <c r="AK31" s="28"/>
      <c r="AL31" s="68"/>
      <c r="AM31" s="28"/>
      <c r="AN31" s="68"/>
      <c r="AO31" s="28"/>
      <c r="AP31" s="68"/>
      <c r="AQ31" s="28"/>
      <c r="AR31" s="68"/>
      <c r="AS31" s="28"/>
      <c r="AT31" s="68"/>
      <c r="AU31" s="68"/>
      <c r="AV31" s="68"/>
      <c r="AW31" s="42"/>
      <c r="AX31" s="63" t="s">
        <v>237</v>
      </c>
    </row>
    <row r="32" spans="2:60" ht="10.5" customHeight="1">
      <c r="B32" s="42">
        <v>10</v>
      </c>
      <c r="C32" s="42"/>
      <c r="D32" s="16" t="s">
        <v>226</v>
      </c>
      <c r="E32" s="28">
        <v>5778.2</v>
      </c>
      <c r="F32" s="27"/>
      <c r="G32" s="28">
        <v>5962.2</v>
      </c>
      <c r="H32" s="27"/>
      <c r="I32" s="28">
        <v>6018.6</v>
      </c>
      <c r="J32" s="27"/>
      <c r="K32" s="28">
        <v>5971.6</v>
      </c>
      <c r="L32" s="27"/>
      <c r="M32" s="28">
        <v>5952.6</v>
      </c>
      <c r="N32" s="27"/>
      <c r="O32" s="28">
        <v>5952.6</v>
      </c>
      <c r="P32" s="27"/>
      <c r="Q32" s="28">
        <v>5945.6</v>
      </c>
      <c r="R32" s="27"/>
      <c r="S32" s="28">
        <v>6041.6</v>
      </c>
      <c r="T32" s="27"/>
      <c r="U32" s="28">
        <v>6040.6</v>
      </c>
      <c r="V32" s="27"/>
      <c r="W32" s="28">
        <v>6121.6</v>
      </c>
      <c r="X32" s="23"/>
      <c r="Y32" s="28">
        <v>6100.6</v>
      </c>
      <c r="Z32" s="23"/>
      <c r="AA32" s="28">
        <v>6233.6</v>
      </c>
      <c r="AB32" s="28"/>
      <c r="AC32" s="28">
        <v>6247.6</v>
      </c>
      <c r="AD32" s="68"/>
      <c r="AE32" s="28">
        <v>6266.6</v>
      </c>
      <c r="AF32" s="68"/>
      <c r="AG32" s="28">
        <v>6282.6</v>
      </c>
      <c r="AH32" s="68"/>
      <c r="AI32" s="28">
        <v>6271.6</v>
      </c>
      <c r="AJ32" s="68"/>
      <c r="AK32" s="28">
        <v>6174.4</v>
      </c>
      <c r="AL32" s="68"/>
      <c r="AM32" s="28">
        <v>6152.4</v>
      </c>
      <c r="AN32" s="68"/>
      <c r="AO32" s="28">
        <v>6170.7</v>
      </c>
      <c r="AP32" s="68"/>
      <c r="AQ32" s="28">
        <v>6135.7</v>
      </c>
      <c r="AR32" s="68"/>
      <c r="AS32" s="28">
        <v>6127.7</v>
      </c>
      <c r="AT32" s="68"/>
      <c r="AU32" s="28">
        <v>6127.8</v>
      </c>
      <c r="AV32" s="68"/>
      <c r="AW32" s="42"/>
      <c r="AX32" s="16" t="s">
        <v>227</v>
      </c>
    </row>
    <row r="33" spans="2:54" ht="10.5" customHeight="1">
      <c r="B33" s="42">
        <v>11</v>
      </c>
      <c r="C33" s="42"/>
      <c r="D33" s="24" t="s">
        <v>228</v>
      </c>
      <c r="E33" s="28">
        <v>52.2</v>
      </c>
      <c r="F33" s="27"/>
      <c r="G33" s="28">
        <v>52.2</v>
      </c>
      <c r="H33" s="27"/>
      <c r="I33" s="28">
        <v>52.2</v>
      </c>
      <c r="J33" s="27"/>
      <c r="K33" s="28">
        <v>52.2</v>
      </c>
      <c r="L33" s="27"/>
      <c r="M33" s="28">
        <v>52.2</v>
      </c>
      <c r="N33" s="27"/>
      <c r="O33" s="28">
        <v>52.2</v>
      </c>
      <c r="P33" s="27"/>
      <c r="Q33" s="28">
        <v>52.2</v>
      </c>
      <c r="R33" s="27"/>
      <c r="S33" s="25">
        <v>52.2</v>
      </c>
      <c r="T33" s="27"/>
      <c r="U33" s="28">
        <v>52.2</v>
      </c>
      <c r="V33" s="27"/>
      <c r="W33" s="28">
        <v>52.2</v>
      </c>
      <c r="X33" s="23"/>
      <c r="Y33" s="28">
        <v>52.2</v>
      </c>
      <c r="Z33" s="23"/>
      <c r="AA33" s="28">
        <v>52.2</v>
      </c>
      <c r="AB33" s="28"/>
      <c r="AC33" s="28">
        <v>52.2</v>
      </c>
      <c r="AD33" s="68"/>
      <c r="AE33" s="28">
        <v>52.2</v>
      </c>
      <c r="AF33" s="68"/>
      <c r="AG33" s="28">
        <v>52.2</v>
      </c>
      <c r="AH33" s="68"/>
      <c r="AI33" s="28">
        <v>52.2</v>
      </c>
      <c r="AJ33" s="68"/>
      <c r="AK33" s="28">
        <v>37</v>
      </c>
      <c r="AL33" s="68"/>
      <c r="AM33" s="28">
        <v>37</v>
      </c>
      <c r="AN33" s="68"/>
      <c r="AO33" s="28">
        <v>31.3</v>
      </c>
      <c r="AP33" s="68"/>
      <c r="AQ33" s="28">
        <v>31.3</v>
      </c>
      <c r="AR33" s="68"/>
      <c r="AS33" s="28">
        <v>31.3</v>
      </c>
      <c r="AT33" s="68"/>
      <c r="AU33" s="28">
        <v>28.9</v>
      </c>
      <c r="AV33" s="68"/>
      <c r="AW33" s="42"/>
      <c r="AX33" s="24" t="s">
        <v>229</v>
      </c>
    </row>
    <row r="34" spans="2:54" ht="10.5" customHeight="1">
      <c r="B34" s="42">
        <v>12</v>
      </c>
      <c r="C34" s="42"/>
      <c r="D34" s="16" t="s">
        <v>230</v>
      </c>
      <c r="E34" s="28">
        <v>1708.6</v>
      </c>
      <c r="F34" s="27"/>
      <c r="G34" s="28">
        <v>1718.6</v>
      </c>
      <c r="H34" s="27"/>
      <c r="I34" s="28">
        <v>1739.6</v>
      </c>
      <c r="J34" s="27"/>
      <c r="K34" s="28">
        <v>1767.6</v>
      </c>
      <c r="L34" s="27"/>
      <c r="M34" s="28">
        <v>1792.6</v>
      </c>
      <c r="N34" s="27"/>
      <c r="O34" s="28">
        <v>1784.6</v>
      </c>
      <c r="P34" s="27"/>
      <c r="Q34" s="28">
        <v>1803.6</v>
      </c>
      <c r="R34" s="27"/>
      <c r="S34" s="28">
        <v>1806.6</v>
      </c>
      <c r="T34" s="27"/>
      <c r="U34" s="28">
        <v>1826.6</v>
      </c>
      <c r="V34" s="27"/>
      <c r="W34" s="28">
        <v>1841.6</v>
      </c>
      <c r="X34" s="23"/>
      <c r="Y34" s="28">
        <v>1864.6</v>
      </c>
      <c r="Z34" s="23"/>
      <c r="AA34" s="28">
        <v>1885.6</v>
      </c>
      <c r="AB34" s="28"/>
      <c r="AC34" s="28">
        <v>1946.6</v>
      </c>
      <c r="AD34" s="68"/>
      <c r="AE34" s="28">
        <v>1947.6</v>
      </c>
      <c r="AF34" s="68"/>
      <c r="AG34" s="28">
        <v>1949.6</v>
      </c>
      <c r="AH34" s="68"/>
      <c r="AI34" s="28">
        <v>1963.6</v>
      </c>
      <c r="AJ34" s="68"/>
      <c r="AK34" s="28">
        <v>2009.346</v>
      </c>
      <c r="AL34" s="68"/>
      <c r="AM34" s="28">
        <v>2036.346</v>
      </c>
      <c r="AN34" s="68"/>
      <c r="AO34" s="28">
        <v>2046.046</v>
      </c>
      <c r="AP34" s="68"/>
      <c r="AQ34" s="28">
        <v>2049.0459999999998</v>
      </c>
      <c r="AR34" s="68"/>
      <c r="AS34" s="28">
        <v>2056.2459999999996</v>
      </c>
      <c r="AT34" s="68"/>
      <c r="AU34" s="28">
        <v>2058.3559999999998</v>
      </c>
      <c r="AV34" s="68"/>
      <c r="AW34" s="42"/>
      <c r="AX34" s="16" t="s">
        <v>90</v>
      </c>
      <c r="AZ34" s="82"/>
    </row>
    <row r="35" spans="2:54" ht="10.5" customHeight="1">
      <c r="B35" s="42">
        <v>13</v>
      </c>
      <c r="C35" s="42"/>
      <c r="D35" s="24" t="s">
        <v>228</v>
      </c>
      <c r="E35" s="28">
        <v>13.1</v>
      </c>
      <c r="F35" s="27"/>
      <c r="G35" s="28">
        <v>13.1</v>
      </c>
      <c r="H35" s="27"/>
      <c r="I35" s="28">
        <v>13.1</v>
      </c>
      <c r="J35" s="27"/>
      <c r="K35" s="28">
        <v>13.1</v>
      </c>
      <c r="L35" s="27"/>
      <c r="M35" s="28">
        <v>13.1</v>
      </c>
      <c r="N35" s="27"/>
      <c r="O35" s="28">
        <v>13.1</v>
      </c>
      <c r="P35" s="27"/>
      <c r="Q35" s="28">
        <v>13.1</v>
      </c>
      <c r="R35" s="27"/>
      <c r="S35" s="25">
        <v>13.1</v>
      </c>
      <c r="T35" s="27"/>
      <c r="U35" s="28">
        <v>13.1</v>
      </c>
      <c r="V35" s="27"/>
      <c r="W35" s="28">
        <v>13.1</v>
      </c>
      <c r="X35" s="23"/>
      <c r="Y35" s="28">
        <v>13.1</v>
      </c>
      <c r="Z35" s="23"/>
      <c r="AA35" s="28">
        <v>13.1</v>
      </c>
      <c r="AB35" s="28"/>
      <c r="AC35" s="28">
        <v>13.1</v>
      </c>
      <c r="AD35" s="68"/>
      <c r="AE35" s="28">
        <v>13.1</v>
      </c>
      <c r="AF35" s="68"/>
      <c r="AG35" s="28">
        <v>13.1</v>
      </c>
      <c r="AH35" s="68"/>
      <c r="AI35" s="28">
        <v>13.1</v>
      </c>
      <c r="AJ35" s="68"/>
      <c r="AK35" s="28">
        <v>28.3</v>
      </c>
      <c r="AL35" s="68"/>
      <c r="AM35" s="28">
        <v>28.3</v>
      </c>
      <c r="AN35" s="68"/>
      <c r="AO35" s="28">
        <v>34</v>
      </c>
      <c r="AP35" s="68"/>
      <c r="AQ35" s="28">
        <v>34</v>
      </c>
      <c r="AR35" s="68"/>
      <c r="AS35" s="28">
        <v>34</v>
      </c>
      <c r="AT35" s="68"/>
      <c r="AU35" s="28">
        <v>36.6</v>
      </c>
      <c r="AV35" s="68"/>
      <c r="AW35" s="42"/>
      <c r="AX35" s="24" t="s">
        <v>229</v>
      </c>
      <c r="AZ35" s="82"/>
    </row>
    <row r="36" spans="2:54" ht="10.5" customHeight="1">
      <c r="B36" s="42">
        <v>14</v>
      </c>
      <c r="C36" s="42"/>
      <c r="D36" s="18" t="s">
        <v>231</v>
      </c>
      <c r="E36" s="65">
        <v>7486.8</v>
      </c>
      <c r="F36" s="69"/>
      <c r="G36" s="65">
        <v>7680.8</v>
      </c>
      <c r="H36" s="69"/>
      <c r="I36" s="65">
        <v>7758.2</v>
      </c>
      <c r="J36" s="69"/>
      <c r="K36" s="65">
        <v>7739.2</v>
      </c>
      <c r="L36" s="69"/>
      <c r="M36" s="65">
        <v>7745.2</v>
      </c>
      <c r="N36" s="69"/>
      <c r="O36" s="65">
        <v>7737.2</v>
      </c>
      <c r="P36" s="69"/>
      <c r="Q36" s="65">
        <v>7749.2</v>
      </c>
      <c r="R36" s="69"/>
      <c r="S36" s="65">
        <v>7848.2</v>
      </c>
      <c r="T36" s="69"/>
      <c r="U36" s="65">
        <v>7867.2</v>
      </c>
      <c r="V36" s="69"/>
      <c r="W36" s="65">
        <v>7963.2</v>
      </c>
      <c r="X36" s="67"/>
      <c r="Y36" s="65">
        <v>7965.2</v>
      </c>
      <c r="Z36" s="67"/>
      <c r="AA36" s="65">
        <v>8119.2</v>
      </c>
      <c r="AB36" s="65"/>
      <c r="AC36" s="65">
        <v>8194.2000000000007</v>
      </c>
      <c r="AD36" s="76"/>
      <c r="AE36" s="65">
        <v>8214.2000000000007</v>
      </c>
      <c r="AF36" s="76"/>
      <c r="AG36" s="65">
        <v>8232.2000000000007</v>
      </c>
      <c r="AH36" s="76"/>
      <c r="AI36" s="65">
        <v>8235.2000000000007</v>
      </c>
      <c r="AJ36" s="76"/>
      <c r="AK36" s="65">
        <v>8183.7460000000001</v>
      </c>
      <c r="AL36" s="76"/>
      <c r="AM36" s="65">
        <v>8188.7460000000001</v>
      </c>
      <c r="AN36" s="76"/>
      <c r="AO36" s="65">
        <v>8216.746000000001</v>
      </c>
      <c r="AP36" s="76"/>
      <c r="AQ36" s="65">
        <v>8184.7460000000001</v>
      </c>
      <c r="AR36" s="76"/>
      <c r="AS36" s="65">
        <v>8183.9459999999999</v>
      </c>
      <c r="AT36" s="76"/>
      <c r="AU36" s="65">
        <v>8186.1559999999999</v>
      </c>
      <c r="AV36" s="76"/>
      <c r="AW36" s="42"/>
      <c r="AX36" s="18" t="s">
        <v>84</v>
      </c>
      <c r="AZ36" s="82"/>
      <c r="BA36" s="82"/>
    </row>
    <row r="37" spans="2:54" ht="6" customHeight="1">
      <c r="B37" s="34"/>
      <c r="C37" s="34"/>
      <c r="D37" s="70"/>
      <c r="E37" s="71"/>
      <c r="F37" s="72"/>
      <c r="G37" s="71"/>
      <c r="H37" s="72"/>
      <c r="I37" s="71"/>
      <c r="J37" s="72"/>
      <c r="K37" s="71"/>
      <c r="L37" s="72"/>
      <c r="M37" s="71"/>
      <c r="N37" s="72"/>
      <c r="O37" s="71"/>
      <c r="P37" s="72"/>
      <c r="Q37" s="71"/>
      <c r="R37" s="72"/>
      <c r="S37" s="70"/>
      <c r="T37" s="72"/>
      <c r="U37" s="71"/>
      <c r="V37" s="72"/>
      <c r="W37" s="71"/>
      <c r="X37" s="40"/>
      <c r="Y37" s="71"/>
      <c r="Z37" s="40"/>
      <c r="AA37" s="71"/>
      <c r="AB37" s="71"/>
      <c r="AC37" s="71"/>
      <c r="AD37" s="74"/>
      <c r="AE37" s="71"/>
      <c r="AF37" s="74"/>
      <c r="AG37" s="71"/>
      <c r="AH37" s="74"/>
      <c r="AI37" s="71"/>
      <c r="AJ37" s="74"/>
      <c r="AK37" s="71"/>
      <c r="AL37" s="74"/>
      <c r="AM37" s="71"/>
      <c r="AN37" s="74"/>
      <c r="AO37" s="71"/>
      <c r="AP37" s="74"/>
      <c r="AQ37" s="71"/>
      <c r="AR37" s="74"/>
      <c r="AS37" s="71"/>
      <c r="AT37" s="74"/>
      <c r="AU37" s="74"/>
      <c r="AV37" s="74"/>
      <c r="AW37" s="34"/>
      <c r="AX37" s="70"/>
      <c r="AZ37" s="82"/>
    </row>
    <row r="38" spans="2:54" ht="6" customHeight="1">
      <c r="B38" s="42"/>
      <c r="C38" s="42"/>
      <c r="D38" s="16"/>
      <c r="E38" s="28"/>
      <c r="F38" s="27"/>
      <c r="G38" s="28"/>
      <c r="H38" s="27"/>
      <c r="I38" s="28"/>
      <c r="J38" s="27"/>
      <c r="K38" s="28"/>
      <c r="L38" s="27"/>
      <c r="M38" s="28"/>
      <c r="N38" s="27"/>
      <c r="O38" s="28"/>
      <c r="P38" s="27"/>
      <c r="Q38" s="28"/>
      <c r="R38" s="27"/>
      <c r="S38" s="16"/>
      <c r="T38" s="27"/>
      <c r="U38" s="28"/>
      <c r="V38" s="27"/>
      <c r="W38" s="28"/>
      <c r="X38" s="23"/>
      <c r="Y38" s="28"/>
      <c r="Z38" s="23"/>
      <c r="AA38" s="28"/>
      <c r="AB38" s="28"/>
      <c r="AC38" s="28"/>
      <c r="AD38" s="68"/>
      <c r="AE38" s="28"/>
      <c r="AF38" s="68"/>
      <c r="AG38" s="28"/>
      <c r="AH38" s="68"/>
      <c r="AI38" s="28"/>
      <c r="AJ38" s="68"/>
      <c r="AK38" s="28"/>
      <c r="AL38" s="68"/>
      <c r="AM38" s="28"/>
      <c r="AN38" s="68"/>
      <c r="AO38" s="28"/>
      <c r="AP38" s="68"/>
      <c r="AQ38" s="28"/>
      <c r="AR38" s="68"/>
      <c r="AS38" s="28"/>
      <c r="AT38" s="68"/>
      <c r="AU38" s="68"/>
      <c r="AV38" s="68"/>
      <c r="AW38" s="42"/>
      <c r="AX38" s="16"/>
    </row>
    <row r="39" spans="2:54" ht="10.5" customHeight="1">
      <c r="B39" s="42"/>
      <c r="C39" s="42"/>
      <c r="D39" s="63" t="s">
        <v>238</v>
      </c>
      <c r="E39" s="28"/>
      <c r="F39" s="27"/>
      <c r="G39" s="28"/>
      <c r="H39" s="27"/>
      <c r="I39" s="28"/>
      <c r="J39" s="27"/>
      <c r="K39" s="28"/>
      <c r="L39" s="27"/>
      <c r="M39" s="28"/>
      <c r="N39" s="27"/>
      <c r="O39" s="28"/>
      <c r="P39" s="27"/>
      <c r="Q39" s="28"/>
      <c r="R39" s="27"/>
      <c r="S39" s="16"/>
      <c r="T39" s="27"/>
      <c r="U39" s="28"/>
      <c r="V39" s="27"/>
      <c r="W39" s="28"/>
      <c r="X39" s="23"/>
      <c r="Y39" s="28"/>
      <c r="Z39" s="23"/>
      <c r="AA39" s="28"/>
      <c r="AB39" s="28"/>
      <c r="AC39" s="28"/>
      <c r="AD39" s="68"/>
      <c r="AE39" s="28"/>
      <c r="AF39" s="68"/>
      <c r="AG39" s="28"/>
      <c r="AH39" s="68"/>
      <c r="AI39" s="28"/>
      <c r="AJ39" s="68"/>
      <c r="AK39" s="28"/>
      <c r="AL39" s="68"/>
      <c r="AM39" s="28"/>
      <c r="AN39" s="68"/>
      <c r="AO39" s="28"/>
      <c r="AP39" s="68"/>
      <c r="AQ39" s="28"/>
      <c r="AR39" s="68"/>
      <c r="AS39" s="28"/>
      <c r="AT39" s="68"/>
      <c r="AU39" s="68"/>
      <c r="AV39" s="68"/>
      <c r="AW39" s="42"/>
      <c r="AX39" s="63" t="s">
        <v>483</v>
      </c>
      <c r="AZ39" s="82"/>
    </row>
    <row r="40" spans="2:54" ht="10.5" customHeight="1">
      <c r="B40" s="42"/>
      <c r="C40" s="42"/>
      <c r="D40" s="63" t="s">
        <v>239</v>
      </c>
      <c r="E40" s="28"/>
      <c r="F40" s="27"/>
      <c r="G40" s="28"/>
      <c r="H40" s="27"/>
      <c r="I40" s="28"/>
      <c r="J40" s="27"/>
      <c r="K40" s="28"/>
      <c r="L40" s="27"/>
      <c r="M40" s="28"/>
      <c r="N40" s="27"/>
      <c r="O40" s="28"/>
      <c r="P40" s="27"/>
      <c r="Q40" s="28"/>
      <c r="R40" s="27"/>
      <c r="S40" s="16"/>
      <c r="T40" s="27"/>
      <c r="U40" s="28"/>
      <c r="V40" s="27"/>
      <c r="W40" s="28"/>
      <c r="X40" s="23"/>
      <c r="Y40" s="28"/>
      <c r="Z40" s="23"/>
      <c r="AA40" s="28"/>
      <c r="AB40" s="28"/>
      <c r="AC40" s="28"/>
      <c r="AD40" s="68"/>
      <c r="AE40" s="28"/>
      <c r="AF40" s="68"/>
      <c r="AG40" s="28"/>
      <c r="AH40" s="68"/>
      <c r="AI40" s="28"/>
      <c r="AJ40" s="68"/>
      <c r="AK40" s="28"/>
      <c r="AL40" s="68"/>
      <c r="AM40" s="28"/>
      <c r="AN40" s="68"/>
      <c r="AO40" s="28"/>
      <c r="AP40" s="68"/>
      <c r="AQ40" s="28"/>
      <c r="AR40" s="68"/>
      <c r="AS40" s="28"/>
      <c r="AT40" s="68"/>
      <c r="AU40" s="68"/>
      <c r="AV40" s="68"/>
      <c r="AW40" s="42"/>
      <c r="AX40" s="63"/>
    </row>
    <row r="41" spans="2:54" ht="10.5" customHeight="1">
      <c r="B41" s="42">
        <v>15</v>
      </c>
      <c r="C41" s="42"/>
      <c r="D41" s="16" t="s">
        <v>240</v>
      </c>
      <c r="E41" s="28">
        <v>6275.4</v>
      </c>
      <c r="F41" s="27"/>
      <c r="G41" s="28">
        <v>6435.4</v>
      </c>
      <c r="H41" s="27"/>
      <c r="I41" s="28">
        <v>6493.4</v>
      </c>
      <c r="J41" s="27"/>
      <c r="K41" s="28">
        <v>6541.4</v>
      </c>
      <c r="L41" s="27"/>
      <c r="M41" s="28">
        <v>6589.4</v>
      </c>
      <c r="N41" s="27"/>
      <c r="O41" s="28">
        <v>6690.4</v>
      </c>
      <c r="P41" s="27"/>
      <c r="Q41" s="28">
        <v>6735.2</v>
      </c>
      <c r="R41" s="27"/>
      <c r="S41" s="28">
        <v>6748.2</v>
      </c>
      <c r="T41" s="27"/>
      <c r="U41" s="28">
        <v>6774.2</v>
      </c>
      <c r="V41" s="27"/>
      <c r="W41" s="28">
        <v>7001.2</v>
      </c>
      <c r="X41" s="23"/>
      <c r="Y41" s="28">
        <v>7007.2</v>
      </c>
      <c r="Z41" s="23"/>
      <c r="AA41" s="28">
        <v>7053.2</v>
      </c>
      <c r="AB41" s="28"/>
      <c r="AC41" s="28">
        <v>6963.2</v>
      </c>
      <c r="AD41" s="68"/>
      <c r="AE41" s="28">
        <v>7172.2</v>
      </c>
      <c r="AF41" s="68"/>
      <c r="AG41" s="28">
        <v>7202.2</v>
      </c>
      <c r="AH41" s="68"/>
      <c r="AI41" s="28">
        <v>7187.2</v>
      </c>
      <c r="AJ41" s="68"/>
      <c r="AK41" s="28">
        <v>7255.7460000000001</v>
      </c>
      <c r="AL41" s="23"/>
      <c r="AM41" s="28">
        <v>7314.7460000000001</v>
      </c>
      <c r="AN41" s="68"/>
      <c r="AO41" s="28">
        <v>7451.7460000000001</v>
      </c>
      <c r="AP41" s="68"/>
      <c r="AQ41" s="28">
        <v>7547.7460000000001</v>
      </c>
      <c r="AR41" s="68"/>
      <c r="AS41" s="28">
        <v>7546.4859999999999</v>
      </c>
      <c r="AT41" s="68"/>
      <c r="AU41" s="75">
        <v>7644.6559999999999</v>
      </c>
      <c r="AV41" s="68"/>
      <c r="AW41" s="42"/>
      <c r="AX41" s="16" t="s">
        <v>241</v>
      </c>
    </row>
    <row r="42" spans="2:54" ht="10.5" customHeight="1">
      <c r="B42" s="42"/>
      <c r="C42" s="42"/>
      <c r="D42" s="16"/>
      <c r="E42" s="28"/>
      <c r="F42" s="27"/>
      <c r="G42" s="28"/>
      <c r="H42" s="27"/>
      <c r="I42" s="28"/>
      <c r="J42" s="27"/>
      <c r="K42" s="28"/>
      <c r="L42" s="27"/>
      <c r="M42" s="28"/>
      <c r="N42" s="27"/>
      <c r="O42" s="28"/>
      <c r="P42" s="27"/>
      <c r="Q42" s="28"/>
      <c r="R42" s="27"/>
      <c r="S42" s="16"/>
      <c r="T42" s="27"/>
      <c r="U42" s="28"/>
      <c r="V42" s="27"/>
      <c r="W42" s="28"/>
      <c r="X42" s="23"/>
      <c r="Y42" s="28"/>
      <c r="Z42" s="23"/>
      <c r="AA42" s="28"/>
      <c r="AB42" s="28"/>
      <c r="AC42" s="28"/>
      <c r="AD42" s="68"/>
      <c r="AE42" s="28"/>
      <c r="AF42" s="68"/>
      <c r="AG42" s="28"/>
      <c r="AH42" s="68"/>
      <c r="AI42" s="28"/>
      <c r="AJ42" s="68"/>
      <c r="AK42" s="28"/>
      <c r="AL42" s="68"/>
      <c r="AM42" s="28"/>
      <c r="AN42" s="68"/>
      <c r="AO42" s="28"/>
      <c r="AP42" s="68"/>
      <c r="AQ42" s="28"/>
      <c r="AR42" s="68"/>
      <c r="AS42" s="28"/>
      <c r="AT42" s="68"/>
      <c r="AU42" s="68"/>
      <c r="AV42" s="68"/>
      <c r="AW42" s="42"/>
      <c r="AX42" s="16" t="s">
        <v>242</v>
      </c>
    </row>
    <row r="43" spans="2:54" ht="10.5" customHeight="1">
      <c r="B43" s="42">
        <v>16</v>
      </c>
      <c r="C43" s="42"/>
      <c r="D43" s="16" t="s">
        <v>243</v>
      </c>
      <c r="E43" s="28">
        <v>7507.5</v>
      </c>
      <c r="F43" s="27"/>
      <c r="G43" s="28">
        <v>7547.5</v>
      </c>
      <c r="H43" s="27"/>
      <c r="I43" s="28">
        <v>7569.5</v>
      </c>
      <c r="J43" s="27"/>
      <c r="K43" s="28">
        <v>7681.8</v>
      </c>
      <c r="L43" s="27"/>
      <c r="M43" s="28">
        <v>7674.8</v>
      </c>
      <c r="N43" s="27"/>
      <c r="O43" s="28">
        <v>7774.8</v>
      </c>
      <c r="P43" s="27"/>
      <c r="Q43" s="28">
        <v>7727.8</v>
      </c>
      <c r="R43" s="27"/>
      <c r="S43" s="28">
        <v>7846.8</v>
      </c>
      <c r="T43" s="27"/>
      <c r="U43" s="28">
        <v>7839.8</v>
      </c>
      <c r="V43" s="27"/>
      <c r="W43" s="28">
        <v>7827.8</v>
      </c>
      <c r="X43" s="23"/>
      <c r="Y43" s="28">
        <v>7837.8</v>
      </c>
      <c r="Z43" s="23"/>
      <c r="AA43" s="28">
        <v>7877.8</v>
      </c>
      <c r="AB43" s="28"/>
      <c r="AC43" s="28">
        <v>7907.8</v>
      </c>
      <c r="AD43" s="68"/>
      <c r="AE43" s="28">
        <v>7902.8</v>
      </c>
      <c r="AF43" s="68"/>
      <c r="AG43" s="28">
        <v>7935.8</v>
      </c>
      <c r="AH43" s="68"/>
      <c r="AI43" s="28">
        <v>8349.7999999999993</v>
      </c>
      <c r="AJ43" s="68"/>
      <c r="AK43" s="28">
        <v>8369.3459999999995</v>
      </c>
      <c r="AL43" s="68"/>
      <c r="AM43" s="28">
        <v>8432.3459999999995</v>
      </c>
      <c r="AN43" s="68"/>
      <c r="AO43" s="28">
        <v>8461.3459999999995</v>
      </c>
      <c r="AP43" s="68"/>
      <c r="AQ43" s="28">
        <v>8062.3460000000005</v>
      </c>
      <c r="AR43" s="78">
        <v>2</v>
      </c>
      <c r="AS43" s="28">
        <v>8069.3460000000005</v>
      </c>
      <c r="AT43" s="78"/>
      <c r="AU43" s="28">
        <v>8090.7060000000001</v>
      </c>
      <c r="AV43" s="78"/>
      <c r="AW43" s="42"/>
      <c r="AX43" s="16" t="s">
        <v>244</v>
      </c>
      <c r="BB43" s="82"/>
    </row>
    <row r="44" spans="2:54" ht="10.5" customHeight="1">
      <c r="B44" s="42">
        <v>17</v>
      </c>
      <c r="C44" s="42"/>
      <c r="D44" s="16" t="s">
        <v>245</v>
      </c>
      <c r="E44" s="75" t="s">
        <v>77</v>
      </c>
      <c r="F44" s="27"/>
      <c r="G44" s="75" t="s">
        <v>77</v>
      </c>
      <c r="H44" s="27"/>
      <c r="I44" s="75" t="s">
        <v>77</v>
      </c>
      <c r="J44" s="27"/>
      <c r="K44" s="75" t="s">
        <v>77</v>
      </c>
      <c r="L44" s="27"/>
      <c r="M44" s="75" t="s">
        <v>77</v>
      </c>
      <c r="N44" s="27"/>
      <c r="O44" s="75" t="s">
        <v>77</v>
      </c>
      <c r="P44" s="27"/>
      <c r="Q44" s="75" t="s">
        <v>77</v>
      </c>
      <c r="R44" s="27"/>
      <c r="S44" s="75" t="s">
        <v>77</v>
      </c>
      <c r="T44" s="27"/>
      <c r="U44" s="75" t="s">
        <v>77</v>
      </c>
      <c r="V44" s="27"/>
      <c r="W44" s="75" t="s">
        <v>77</v>
      </c>
      <c r="X44" s="23"/>
      <c r="Y44" s="28">
        <v>177</v>
      </c>
      <c r="Z44" s="23"/>
      <c r="AA44" s="28">
        <v>177</v>
      </c>
      <c r="AB44" s="28"/>
      <c r="AC44" s="28">
        <v>423</v>
      </c>
      <c r="AD44" s="68"/>
      <c r="AE44" s="28">
        <v>573</v>
      </c>
      <c r="AF44" s="68"/>
      <c r="AG44" s="28">
        <v>540.01700000000005</v>
      </c>
      <c r="AH44" s="78"/>
      <c r="AI44" s="28">
        <v>540.08799999999997</v>
      </c>
      <c r="AJ44" s="68"/>
      <c r="AK44" s="28">
        <v>540</v>
      </c>
      <c r="AL44" s="68"/>
      <c r="AM44" s="28">
        <v>540</v>
      </c>
      <c r="AN44" s="68"/>
      <c r="AO44" s="28">
        <v>539.86</v>
      </c>
      <c r="AP44" s="68"/>
      <c r="AQ44" s="28">
        <v>573</v>
      </c>
      <c r="AR44" s="68"/>
      <c r="AS44" s="262">
        <v>573.27</v>
      </c>
      <c r="AT44" s="68"/>
      <c r="AU44" s="262">
        <v>572.44000000000005</v>
      </c>
      <c r="AV44" s="68"/>
      <c r="AW44" s="42"/>
      <c r="AX44" s="16" t="s">
        <v>246</v>
      </c>
    </row>
    <row r="45" spans="2:54" ht="6" customHeight="1">
      <c r="B45" s="34"/>
      <c r="C45" s="34"/>
      <c r="D45" s="70"/>
      <c r="E45" s="71"/>
      <c r="F45" s="72"/>
      <c r="G45" s="71"/>
      <c r="H45" s="72"/>
      <c r="I45" s="71"/>
      <c r="J45" s="72"/>
      <c r="K45" s="71"/>
      <c r="L45" s="72"/>
      <c r="M45" s="71"/>
      <c r="N45" s="72"/>
      <c r="O45" s="71"/>
      <c r="P45" s="72"/>
      <c r="Q45" s="71"/>
      <c r="R45" s="72"/>
      <c r="S45" s="70"/>
      <c r="T45" s="72"/>
      <c r="U45" s="71"/>
      <c r="V45" s="72"/>
      <c r="W45" s="71"/>
      <c r="X45" s="40"/>
      <c r="Y45" s="71"/>
      <c r="Z45" s="40"/>
      <c r="AA45" s="71"/>
      <c r="AB45" s="71"/>
      <c r="AC45" s="71"/>
      <c r="AD45" s="74"/>
      <c r="AE45" s="71"/>
      <c r="AF45" s="74"/>
      <c r="AG45" s="71"/>
      <c r="AH45" s="74"/>
      <c r="AI45" s="71"/>
      <c r="AJ45" s="74"/>
      <c r="AK45" s="71"/>
      <c r="AL45" s="74"/>
      <c r="AM45" s="71"/>
      <c r="AN45" s="74"/>
      <c r="AO45" s="71"/>
      <c r="AP45" s="74"/>
      <c r="AQ45" s="71"/>
      <c r="AR45" s="74"/>
      <c r="AS45" s="71"/>
      <c r="AT45" s="74"/>
      <c r="AU45" s="74"/>
      <c r="AV45" s="74"/>
      <c r="AW45" s="34"/>
      <c r="AX45" s="70"/>
    </row>
    <row r="46" spans="2:54" ht="6" customHeight="1">
      <c r="B46" s="42"/>
      <c r="C46" s="42"/>
      <c r="D46" s="16"/>
      <c r="E46" s="28"/>
      <c r="F46" s="27"/>
      <c r="G46" s="28"/>
      <c r="H46" s="27"/>
      <c r="I46" s="28"/>
      <c r="J46" s="27"/>
      <c r="K46" s="28"/>
      <c r="L46" s="27"/>
      <c r="M46" s="28"/>
      <c r="N46" s="27"/>
      <c r="O46" s="28"/>
      <c r="P46" s="27"/>
      <c r="Q46" s="28"/>
      <c r="R46" s="27"/>
      <c r="S46" s="16"/>
      <c r="T46" s="27"/>
      <c r="U46" s="28"/>
      <c r="V46" s="27"/>
      <c r="W46" s="28"/>
      <c r="X46" s="23"/>
      <c r="Y46" s="28"/>
      <c r="Z46" s="23"/>
      <c r="AA46" s="28"/>
      <c r="AB46" s="28"/>
      <c r="AC46" s="28"/>
      <c r="AD46" s="68"/>
      <c r="AE46" s="28"/>
      <c r="AF46" s="68"/>
      <c r="AG46" s="28"/>
      <c r="AH46" s="68"/>
      <c r="AI46" s="28"/>
      <c r="AJ46" s="68"/>
      <c r="AK46" s="28"/>
      <c r="AL46" s="68"/>
      <c r="AM46" s="28"/>
      <c r="AN46" s="68"/>
      <c r="AO46" s="28"/>
      <c r="AP46" s="68"/>
      <c r="AQ46" s="28"/>
      <c r="AR46" s="68"/>
      <c r="AS46" s="28"/>
      <c r="AT46" s="68"/>
      <c r="AU46" s="68"/>
      <c r="AV46" s="68"/>
      <c r="AW46" s="42"/>
      <c r="AX46" s="16"/>
    </row>
    <row r="47" spans="2:54" ht="10.5" customHeight="1">
      <c r="B47" s="42"/>
      <c r="C47" s="42"/>
      <c r="D47" s="63" t="s">
        <v>108</v>
      </c>
      <c r="E47" s="28"/>
      <c r="F47" s="27"/>
      <c r="G47" s="28"/>
      <c r="H47" s="27"/>
      <c r="I47" s="28"/>
      <c r="J47" s="27"/>
      <c r="K47" s="28"/>
      <c r="L47" s="27"/>
      <c r="M47" s="28"/>
      <c r="N47" s="27"/>
      <c r="O47" s="28"/>
      <c r="P47" s="27"/>
      <c r="Q47" s="28"/>
      <c r="R47" s="27"/>
      <c r="S47" s="16"/>
      <c r="T47" s="27"/>
      <c r="U47" s="28"/>
      <c r="V47" s="27"/>
      <c r="W47" s="28"/>
      <c r="X47" s="23"/>
      <c r="Y47" s="28"/>
      <c r="Z47" s="23"/>
      <c r="AA47" s="28"/>
      <c r="AB47" s="28"/>
      <c r="AC47" s="28"/>
      <c r="AD47" s="68"/>
      <c r="AE47" s="28"/>
      <c r="AF47" s="68"/>
      <c r="AG47" s="28"/>
      <c r="AH47" s="68"/>
      <c r="AI47" s="28"/>
      <c r="AJ47" s="68"/>
      <c r="AK47" s="28"/>
      <c r="AL47" s="68"/>
      <c r="AM47" s="28"/>
      <c r="AN47" s="68"/>
      <c r="AO47" s="28"/>
      <c r="AP47" s="68"/>
      <c r="AQ47" s="28"/>
      <c r="AR47" s="68"/>
      <c r="AS47" s="28"/>
      <c r="AT47" s="68"/>
      <c r="AU47" s="68"/>
      <c r="AV47" s="68"/>
      <c r="AW47" s="42"/>
      <c r="AX47" s="63" t="s">
        <v>123</v>
      </c>
    </row>
    <row r="48" spans="2:54" ht="10.5" customHeight="1">
      <c r="B48" s="42">
        <v>18</v>
      </c>
      <c r="C48" s="42"/>
      <c r="D48" s="16" t="s">
        <v>247</v>
      </c>
      <c r="E48" s="28">
        <v>2934</v>
      </c>
      <c r="F48" s="42"/>
      <c r="G48" s="28">
        <v>2939</v>
      </c>
      <c r="H48" s="42"/>
      <c r="I48" s="28">
        <v>2977</v>
      </c>
      <c r="J48" s="42"/>
      <c r="K48" s="28">
        <v>2988</v>
      </c>
      <c r="L48" s="42"/>
      <c r="M48" s="28">
        <v>3007</v>
      </c>
      <c r="N48" s="42"/>
      <c r="O48" s="28">
        <v>3017</v>
      </c>
      <c r="P48" s="42"/>
      <c r="Q48" s="28">
        <v>3026</v>
      </c>
      <c r="R48" s="42"/>
      <c r="S48" s="262">
        <v>3037</v>
      </c>
      <c r="T48" s="23"/>
      <c r="U48" s="28">
        <v>3037</v>
      </c>
      <c r="V48" s="23"/>
      <c r="W48" s="262">
        <v>3048</v>
      </c>
      <c r="X48" s="23"/>
      <c r="Y48" s="28">
        <v>3056</v>
      </c>
      <c r="Z48" s="23"/>
      <c r="AA48" s="28">
        <v>3062</v>
      </c>
      <c r="AB48" s="28"/>
      <c r="AC48" s="28">
        <v>3086</v>
      </c>
      <c r="AD48" s="23"/>
      <c r="AE48" s="28">
        <v>3092</v>
      </c>
      <c r="AF48" s="23"/>
      <c r="AG48" s="28">
        <v>3085</v>
      </c>
      <c r="AH48" s="23"/>
      <c r="AI48" s="28">
        <v>3088</v>
      </c>
      <c r="AJ48" s="23"/>
      <c r="AK48" s="28">
        <v>3097</v>
      </c>
      <c r="AL48" s="68"/>
      <c r="AM48" s="28">
        <v>3095</v>
      </c>
      <c r="AN48" s="68"/>
      <c r="AO48" s="28">
        <v>3098</v>
      </c>
      <c r="AP48" s="68"/>
      <c r="AQ48" s="28">
        <v>3532</v>
      </c>
      <c r="AR48" s="78">
        <v>2</v>
      </c>
      <c r="AS48" s="28">
        <v>3540</v>
      </c>
      <c r="AT48" s="78"/>
      <c r="AU48" s="28">
        <v>3522</v>
      </c>
      <c r="AV48" s="78"/>
      <c r="AW48" s="42"/>
      <c r="AX48" s="16" t="s">
        <v>248</v>
      </c>
      <c r="BB48" s="82"/>
    </row>
    <row r="49" spans="2:53" ht="10.5" customHeight="1">
      <c r="B49" s="42">
        <v>19</v>
      </c>
      <c r="C49" s="42"/>
      <c r="D49" s="16" t="s">
        <v>249</v>
      </c>
      <c r="E49" s="28">
        <v>10159</v>
      </c>
      <c r="F49" s="42"/>
      <c r="G49" s="28">
        <v>9957</v>
      </c>
      <c r="H49" s="42"/>
      <c r="I49" s="28">
        <v>9820</v>
      </c>
      <c r="J49" s="42"/>
      <c r="K49" s="28">
        <v>9740</v>
      </c>
      <c r="L49" s="42"/>
      <c r="M49" s="28">
        <v>9722</v>
      </c>
      <c r="N49" s="42"/>
      <c r="O49" s="28">
        <v>9643</v>
      </c>
      <c r="P49" s="42"/>
      <c r="Q49" s="28">
        <v>9581</v>
      </c>
      <c r="R49" s="42"/>
      <c r="S49" s="28">
        <v>8151</v>
      </c>
      <c r="T49" s="23"/>
      <c r="U49" s="28">
        <v>8056</v>
      </c>
      <c r="V49" s="23"/>
      <c r="W49" s="28">
        <v>7796</v>
      </c>
      <c r="X49" s="23"/>
      <c r="Y49" s="28">
        <v>7654</v>
      </c>
      <c r="Z49" s="23"/>
      <c r="AA49" s="28">
        <v>7582</v>
      </c>
      <c r="AB49" s="28"/>
      <c r="AC49" s="28">
        <v>7380</v>
      </c>
      <c r="AD49" s="23"/>
      <c r="AE49" s="28">
        <v>7355</v>
      </c>
      <c r="AF49" s="23"/>
      <c r="AG49" s="28">
        <v>7293</v>
      </c>
      <c r="AH49" s="23"/>
      <c r="AI49" s="28">
        <v>7203</v>
      </c>
      <c r="AJ49" s="78">
        <v>3</v>
      </c>
      <c r="AK49" s="28">
        <v>7030</v>
      </c>
      <c r="AL49" s="78">
        <v>3</v>
      </c>
      <c r="AM49" s="28">
        <v>7301</v>
      </c>
      <c r="AN49" s="78">
        <v>3</v>
      </c>
      <c r="AO49" s="28">
        <v>7364</v>
      </c>
      <c r="AP49" s="78">
        <v>3</v>
      </c>
      <c r="AQ49" s="28">
        <v>7488</v>
      </c>
      <c r="AR49" s="78">
        <v>3</v>
      </c>
      <c r="AS49" s="28">
        <v>7338</v>
      </c>
      <c r="AT49" s="78"/>
      <c r="AU49" s="28">
        <v>7298</v>
      </c>
      <c r="AV49" s="78"/>
      <c r="AW49" s="42"/>
      <c r="AX49" s="16" t="s">
        <v>250</v>
      </c>
    </row>
    <row r="50" spans="2:53" ht="10.5" customHeight="1">
      <c r="B50" s="42">
        <v>20</v>
      </c>
      <c r="C50" s="42"/>
      <c r="D50" s="18" t="s">
        <v>231</v>
      </c>
      <c r="E50" s="65">
        <v>13093</v>
      </c>
      <c r="F50" s="281"/>
      <c r="G50" s="65">
        <v>12896</v>
      </c>
      <c r="H50" s="281"/>
      <c r="I50" s="65">
        <v>12797</v>
      </c>
      <c r="J50" s="281"/>
      <c r="K50" s="65">
        <v>12728</v>
      </c>
      <c r="L50" s="281"/>
      <c r="M50" s="65">
        <v>12729</v>
      </c>
      <c r="N50" s="281"/>
      <c r="O50" s="65">
        <v>12660</v>
      </c>
      <c r="P50" s="281"/>
      <c r="Q50" s="65">
        <v>12607</v>
      </c>
      <c r="R50" s="281"/>
      <c r="S50" s="261">
        <v>11188</v>
      </c>
      <c r="T50" s="23"/>
      <c r="U50" s="65">
        <v>11093</v>
      </c>
      <c r="V50" s="23"/>
      <c r="W50" s="261">
        <v>10844</v>
      </c>
      <c r="X50" s="23"/>
      <c r="Y50" s="65">
        <v>10710</v>
      </c>
      <c r="Z50" s="23"/>
      <c r="AA50" s="65">
        <v>10644</v>
      </c>
      <c r="AB50" s="65"/>
      <c r="AC50" s="65">
        <v>10466</v>
      </c>
      <c r="AD50" s="23"/>
      <c r="AE50" s="65">
        <v>10447</v>
      </c>
      <c r="AF50" s="23"/>
      <c r="AG50" s="65">
        <v>10378</v>
      </c>
      <c r="AH50" s="23"/>
      <c r="AI50" s="65">
        <v>10291</v>
      </c>
      <c r="AJ50" s="78">
        <v>3</v>
      </c>
      <c r="AK50" s="65">
        <v>10127</v>
      </c>
      <c r="AL50" s="78">
        <v>3</v>
      </c>
      <c r="AM50" s="65">
        <v>10396</v>
      </c>
      <c r="AN50" s="78">
        <v>3</v>
      </c>
      <c r="AO50" s="65">
        <v>10462</v>
      </c>
      <c r="AP50" s="78">
        <v>3</v>
      </c>
      <c r="AQ50" s="65">
        <v>11020</v>
      </c>
      <c r="AR50" s="78">
        <v>3</v>
      </c>
      <c r="AS50" s="65">
        <v>10878</v>
      </c>
      <c r="AT50" s="78"/>
      <c r="AU50" s="65">
        <v>10820</v>
      </c>
      <c r="AV50" s="78"/>
      <c r="AW50" s="42"/>
      <c r="AX50" s="18" t="s">
        <v>84</v>
      </c>
      <c r="AY50" s="82"/>
    </row>
    <row r="51" spans="2:53" ht="10.5" customHeight="1">
      <c r="B51" s="42">
        <v>21</v>
      </c>
      <c r="C51" s="42"/>
      <c r="D51" s="24" t="s">
        <v>251</v>
      </c>
      <c r="E51" s="28">
        <v>2249</v>
      </c>
      <c r="F51" s="42"/>
      <c r="G51" s="28">
        <v>2272</v>
      </c>
      <c r="H51" s="42"/>
      <c r="I51" s="28">
        <v>2319</v>
      </c>
      <c r="J51" s="42"/>
      <c r="K51" s="28">
        <v>2331</v>
      </c>
      <c r="L51" s="42"/>
      <c r="M51" s="28">
        <v>2356</v>
      </c>
      <c r="N51" s="42"/>
      <c r="O51" s="28">
        <v>2364</v>
      </c>
      <c r="P51" s="23"/>
      <c r="Q51" s="28">
        <v>2380</v>
      </c>
      <c r="R51" s="42"/>
      <c r="S51" s="28">
        <v>2397</v>
      </c>
      <c r="T51" s="27"/>
      <c r="U51" s="28">
        <v>2379</v>
      </c>
      <c r="V51" s="23"/>
      <c r="W51" s="28">
        <v>2358</v>
      </c>
      <c r="X51" s="23"/>
      <c r="Y51" s="28">
        <v>2354</v>
      </c>
      <c r="Z51" s="23"/>
      <c r="AA51" s="28">
        <v>2355</v>
      </c>
      <c r="AB51" s="28"/>
      <c r="AC51" s="28">
        <v>2344</v>
      </c>
      <c r="AD51" s="68"/>
      <c r="AE51" s="28">
        <v>2355</v>
      </c>
      <c r="AF51" s="23"/>
      <c r="AG51" s="28">
        <v>2357</v>
      </c>
      <c r="AH51" s="23"/>
      <c r="AI51" s="28">
        <v>2357</v>
      </c>
      <c r="AJ51" s="78">
        <v>3</v>
      </c>
      <c r="AK51" s="28">
        <v>2367</v>
      </c>
      <c r="AL51" s="78">
        <v>3</v>
      </c>
      <c r="AM51" s="28">
        <v>2469</v>
      </c>
      <c r="AN51" s="78">
        <v>3</v>
      </c>
      <c r="AO51" s="28">
        <v>2479</v>
      </c>
      <c r="AP51" s="78">
        <v>3</v>
      </c>
      <c r="AQ51" s="28">
        <v>2509</v>
      </c>
      <c r="AR51" s="78">
        <v>3</v>
      </c>
      <c r="AS51" s="28">
        <v>2500</v>
      </c>
      <c r="AT51" s="78"/>
      <c r="AU51" s="28">
        <v>2498</v>
      </c>
      <c r="AV51" s="78"/>
      <c r="AW51" s="42"/>
      <c r="AX51" s="24" t="s">
        <v>252</v>
      </c>
    </row>
    <row r="52" spans="2:53" ht="10.5" customHeight="1">
      <c r="B52" s="42">
        <v>22</v>
      </c>
      <c r="C52" s="42"/>
      <c r="D52" s="24" t="s">
        <v>253</v>
      </c>
      <c r="E52" s="28">
        <v>785</v>
      </c>
      <c r="F52" s="42"/>
      <c r="G52" s="28">
        <v>828</v>
      </c>
      <c r="H52" s="42"/>
      <c r="I52" s="28">
        <v>857</v>
      </c>
      <c r="J52" s="42"/>
      <c r="K52" s="28">
        <v>857</v>
      </c>
      <c r="L52" s="42"/>
      <c r="M52" s="28">
        <v>866</v>
      </c>
      <c r="N52" s="42"/>
      <c r="O52" s="28">
        <v>863</v>
      </c>
      <c r="P52" s="23"/>
      <c r="Q52" s="28">
        <v>867</v>
      </c>
      <c r="R52" s="42"/>
      <c r="S52" s="16">
        <v>876</v>
      </c>
      <c r="T52" s="27"/>
      <c r="U52" s="28">
        <v>873</v>
      </c>
      <c r="V52" s="23"/>
      <c r="W52" s="16">
        <v>870</v>
      </c>
      <c r="X52" s="23"/>
      <c r="Y52" s="28">
        <v>871</v>
      </c>
      <c r="Z52" s="23"/>
      <c r="AA52" s="28">
        <v>864</v>
      </c>
      <c r="AB52" s="28"/>
      <c r="AC52" s="28">
        <v>851</v>
      </c>
      <c r="AD52" s="68"/>
      <c r="AE52" s="28">
        <v>845</v>
      </c>
      <c r="AF52" s="23"/>
      <c r="AG52" s="28">
        <v>836</v>
      </c>
      <c r="AH52" s="68"/>
      <c r="AI52" s="28">
        <v>830</v>
      </c>
      <c r="AJ52" s="78">
        <v>3</v>
      </c>
      <c r="AK52" s="28">
        <v>743</v>
      </c>
      <c r="AL52" s="78">
        <v>3</v>
      </c>
      <c r="AM52" s="28">
        <v>748</v>
      </c>
      <c r="AN52" s="78">
        <v>3</v>
      </c>
      <c r="AO52" s="28">
        <v>738</v>
      </c>
      <c r="AP52" s="78">
        <v>3</v>
      </c>
      <c r="AQ52" s="28">
        <v>743</v>
      </c>
      <c r="AR52" s="78">
        <v>3</v>
      </c>
      <c r="AS52" s="28">
        <v>716</v>
      </c>
      <c r="AT52" s="78"/>
      <c r="AU52" s="28">
        <v>708</v>
      </c>
      <c r="AV52" s="78"/>
      <c r="AW52" s="42"/>
      <c r="AX52" s="24" t="s">
        <v>254</v>
      </c>
    </row>
    <row r="53" spans="2:53" ht="10.5" customHeight="1">
      <c r="B53" s="42">
        <v>23</v>
      </c>
      <c r="C53" s="42"/>
      <c r="D53" s="24" t="s">
        <v>255</v>
      </c>
      <c r="E53" s="28">
        <v>1222</v>
      </c>
      <c r="F53" s="42"/>
      <c r="G53" s="28">
        <v>1343</v>
      </c>
      <c r="H53" s="42"/>
      <c r="I53" s="28">
        <v>1398</v>
      </c>
      <c r="J53" s="42"/>
      <c r="K53" s="28">
        <v>1398</v>
      </c>
      <c r="L53" s="42"/>
      <c r="M53" s="28">
        <v>1536</v>
      </c>
      <c r="N53" s="42"/>
      <c r="O53" s="28">
        <v>1568</v>
      </c>
      <c r="P53" s="42"/>
      <c r="Q53" s="28">
        <v>1563</v>
      </c>
      <c r="R53" s="42"/>
      <c r="S53" s="28">
        <v>1571</v>
      </c>
      <c r="T53" s="27"/>
      <c r="U53" s="28">
        <v>1556</v>
      </c>
      <c r="V53" s="23"/>
      <c r="W53" s="28">
        <v>1562</v>
      </c>
      <c r="X53" s="23"/>
      <c r="Y53" s="28">
        <v>1580</v>
      </c>
      <c r="Z53" s="23"/>
      <c r="AA53" s="28">
        <v>1576</v>
      </c>
      <c r="AB53" s="28"/>
      <c r="AC53" s="28">
        <v>1558</v>
      </c>
      <c r="AD53" s="68"/>
      <c r="AE53" s="28">
        <v>1549</v>
      </c>
      <c r="AF53" s="23"/>
      <c r="AG53" s="28">
        <v>1548</v>
      </c>
      <c r="AH53" s="68"/>
      <c r="AI53" s="28">
        <v>1530</v>
      </c>
      <c r="AJ53" s="78">
        <v>3</v>
      </c>
      <c r="AK53" s="28">
        <v>1575</v>
      </c>
      <c r="AL53" s="78">
        <v>3</v>
      </c>
      <c r="AM53" s="28">
        <v>1579</v>
      </c>
      <c r="AN53" s="78">
        <v>3</v>
      </c>
      <c r="AO53" s="28">
        <v>1566</v>
      </c>
      <c r="AP53" s="78">
        <v>3</v>
      </c>
      <c r="AQ53" s="28">
        <v>1580</v>
      </c>
      <c r="AR53" s="78">
        <v>3</v>
      </c>
      <c r="AS53" s="28">
        <v>1556</v>
      </c>
      <c r="AT53" s="78"/>
      <c r="AU53" s="28">
        <v>1558</v>
      </c>
      <c r="AV53" s="78"/>
      <c r="AW53" s="42"/>
      <c r="AX53" s="24" t="s">
        <v>569</v>
      </c>
    </row>
    <row r="54" spans="2:53" ht="10.5" customHeight="1">
      <c r="B54" s="42">
        <v>24</v>
      </c>
      <c r="C54" s="42"/>
      <c r="D54" s="24" t="s">
        <v>256</v>
      </c>
      <c r="E54" s="28">
        <v>5903</v>
      </c>
      <c r="F54" s="42"/>
      <c r="G54" s="28">
        <v>5514</v>
      </c>
      <c r="H54" s="42"/>
      <c r="I54" s="28">
        <v>5246</v>
      </c>
      <c r="J54" s="42"/>
      <c r="K54" s="28">
        <v>5154</v>
      </c>
      <c r="L54" s="42"/>
      <c r="M54" s="28">
        <v>4964</v>
      </c>
      <c r="N54" s="42"/>
      <c r="O54" s="28">
        <v>4848</v>
      </c>
      <c r="P54" s="42"/>
      <c r="Q54" s="28">
        <v>4771</v>
      </c>
      <c r="R54" s="42"/>
      <c r="S54" s="28">
        <v>3307</v>
      </c>
      <c r="T54" s="27"/>
      <c r="U54" s="28">
        <v>3248</v>
      </c>
      <c r="V54" s="23"/>
      <c r="W54" s="28">
        <v>3006</v>
      </c>
      <c r="X54" s="27"/>
      <c r="Y54" s="28">
        <v>2849</v>
      </c>
      <c r="Z54" s="17"/>
      <c r="AA54" s="28">
        <v>2787</v>
      </c>
      <c r="AB54" s="28"/>
      <c r="AC54" s="28">
        <v>2627</v>
      </c>
      <c r="AD54" s="68"/>
      <c r="AE54" s="262">
        <v>2606</v>
      </c>
      <c r="AF54" s="23"/>
      <c r="AG54" s="28">
        <v>2552</v>
      </c>
      <c r="AH54" s="68"/>
      <c r="AI54" s="28">
        <v>2486</v>
      </c>
      <c r="AJ54" s="78">
        <v>3</v>
      </c>
      <c r="AK54" s="28">
        <v>2345</v>
      </c>
      <c r="AL54" s="78">
        <v>3</v>
      </c>
      <c r="AM54" s="28">
        <v>2505</v>
      </c>
      <c r="AN54" s="78">
        <v>3</v>
      </c>
      <c r="AO54" s="28">
        <v>2581</v>
      </c>
      <c r="AP54" s="78">
        <v>3</v>
      </c>
      <c r="AQ54" s="28">
        <v>2656</v>
      </c>
      <c r="AR54" s="78">
        <v>3</v>
      </c>
      <c r="AS54" s="28">
        <v>2566</v>
      </c>
      <c r="AT54" s="78"/>
      <c r="AU54" s="28">
        <v>2534</v>
      </c>
      <c r="AV54" s="78"/>
      <c r="AW54" s="42"/>
      <c r="AX54" s="24" t="s">
        <v>257</v>
      </c>
    </row>
    <row r="55" spans="2:53" ht="6" customHeight="1">
      <c r="B55" s="34"/>
      <c r="C55" s="34"/>
      <c r="D55" s="35"/>
      <c r="E55" s="73"/>
      <c r="F55" s="34"/>
      <c r="G55" s="73"/>
      <c r="H55" s="34"/>
      <c r="I55" s="73"/>
      <c r="J55" s="34"/>
      <c r="K55" s="73"/>
      <c r="L55" s="34"/>
      <c r="M55" s="73"/>
      <c r="N55" s="34"/>
      <c r="O55" s="73"/>
      <c r="P55" s="34"/>
      <c r="Q55" s="73"/>
      <c r="R55" s="34"/>
      <c r="S55" s="73"/>
      <c r="T55" s="72"/>
      <c r="U55" s="73"/>
      <c r="V55" s="34"/>
      <c r="W55" s="71"/>
      <c r="X55" s="72"/>
      <c r="Y55" s="71"/>
      <c r="Z55" s="72"/>
      <c r="AA55" s="71"/>
      <c r="AB55" s="71"/>
      <c r="AC55" s="71"/>
      <c r="AD55" s="77"/>
      <c r="AE55" s="71"/>
      <c r="AF55" s="77"/>
      <c r="AG55" s="71"/>
      <c r="AH55" s="77"/>
      <c r="AI55" s="71"/>
      <c r="AJ55" s="77"/>
      <c r="AK55" s="71"/>
      <c r="AL55" s="77"/>
      <c r="AM55" s="71"/>
      <c r="AN55" s="77"/>
      <c r="AO55" s="71"/>
      <c r="AP55" s="77"/>
      <c r="AQ55" s="71"/>
      <c r="AR55" s="77"/>
      <c r="AS55" s="71"/>
      <c r="AT55" s="77"/>
      <c r="AU55" s="71"/>
      <c r="AV55" s="77"/>
      <c r="AW55" s="34"/>
      <c r="AX55" s="35"/>
    </row>
    <row r="56" spans="2:53" ht="12.75" customHeight="1">
      <c r="B56" s="78"/>
      <c r="C56" s="42"/>
      <c r="D56" s="24"/>
      <c r="E56" s="24"/>
      <c r="F56" s="24"/>
      <c r="G56" s="24"/>
      <c r="H56" s="24"/>
      <c r="I56" s="24"/>
      <c r="J56" s="24"/>
      <c r="K56" s="24"/>
      <c r="L56" s="24"/>
      <c r="M56" s="24"/>
      <c r="N56" s="24"/>
      <c r="O56" s="24"/>
      <c r="P56" s="24"/>
      <c r="Q56" s="24"/>
      <c r="R56" s="24"/>
      <c r="S56" s="42"/>
      <c r="T56" s="61"/>
      <c r="U56" s="42"/>
      <c r="V56" s="61"/>
      <c r="W56" s="42"/>
      <c r="X56" s="61"/>
      <c r="Y56" s="42"/>
      <c r="Z56" s="61"/>
      <c r="AA56" s="42"/>
      <c r="AB56" s="42"/>
      <c r="AC56" s="42"/>
      <c r="AD56" s="61"/>
      <c r="AE56" s="42"/>
      <c r="AF56" s="61"/>
      <c r="AG56" s="42"/>
      <c r="AH56" s="61"/>
      <c r="AI56" s="42"/>
      <c r="AJ56" s="61"/>
      <c r="AK56" s="42"/>
      <c r="AL56" s="61"/>
      <c r="AM56" s="42"/>
      <c r="AN56" s="61"/>
      <c r="AO56" s="42"/>
      <c r="AP56" s="61"/>
      <c r="AQ56" s="42"/>
      <c r="AR56" s="61"/>
      <c r="AS56" s="42"/>
      <c r="AT56" s="61"/>
      <c r="AU56" s="61"/>
      <c r="AV56" s="61"/>
      <c r="AW56" s="42"/>
      <c r="AX56" s="24"/>
    </row>
    <row r="57" spans="2:53" ht="14.25" customHeight="1">
      <c r="B57" s="80"/>
      <c r="C57" s="526" t="s">
        <v>1429</v>
      </c>
      <c r="D57" s="526"/>
      <c r="E57" s="514"/>
      <c r="F57" s="512"/>
      <c r="G57" s="514"/>
      <c r="H57" s="512"/>
      <c r="I57" s="514"/>
      <c r="J57" s="512"/>
      <c r="K57" s="514"/>
      <c r="L57" s="512"/>
      <c r="M57" s="514"/>
      <c r="N57" s="512"/>
      <c r="O57" s="514"/>
      <c r="P57" s="512"/>
      <c r="Q57" s="514"/>
      <c r="R57" s="512"/>
      <c r="S57" s="514"/>
      <c r="T57" s="512"/>
      <c r="U57" s="514"/>
      <c r="V57" s="512"/>
      <c r="W57" s="514"/>
      <c r="X57" s="512"/>
      <c r="Y57" s="514"/>
      <c r="Z57" s="512"/>
      <c r="AA57" s="514"/>
      <c r="AB57" s="514"/>
      <c r="AC57" s="514"/>
      <c r="AD57" s="512"/>
      <c r="AE57" s="514"/>
      <c r="AF57" s="512"/>
      <c r="AG57" s="514"/>
      <c r="AH57" s="512"/>
      <c r="AI57" s="514"/>
      <c r="AJ57" s="512"/>
      <c r="AK57" s="514"/>
      <c r="AL57" s="512"/>
      <c r="AM57" s="514"/>
      <c r="AN57" s="512"/>
      <c r="AO57" s="514"/>
      <c r="AP57" s="512"/>
      <c r="AQ57" s="514"/>
      <c r="AR57" s="514"/>
      <c r="AS57" s="514"/>
      <c r="AT57" s="514"/>
      <c r="AU57" s="80"/>
      <c r="AV57" s="80"/>
      <c r="AW57" s="389"/>
      <c r="AX57" s="79" t="s">
        <v>261</v>
      </c>
    </row>
    <row r="58" spans="2:53" ht="4.5" customHeight="1">
      <c r="B58" s="42"/>
      <c r="C58" s="42"/>
      <c r="D58" s="286"/>
      <c r="E58" s="42"/>
      <c r="F58" s="61"/>
      <c r="G58" s="42"/>
      <c r="H58" s="61"/>
      <c r="I58" s="42"/>
      <c r="J58" s="61"/>
      <c r="K58" s="42"/>
      <c r="L58" s="61"/>
      <c r="M58" s="42"/>
      <c r="N58" s="61"/>
      <c r="O58" s="42"/>
      <c r="P58" s="61"/>
      <c r="Q58" s="42"/>
      <c r="R58" s="61"/>
      <c r="S58" s="42"/>
      <c r="T58" s="64"/>
      <c r="U58" s="42"/>
      <c r="V58" s="61"/>
      <c r="W58" s="42"/>
      <c r="X58" s="61"/>
      <c r="Y58" s="42"/>
      <c r="Z58" s="61"/>
      <c r="AA58" s="42"/>
      <c r="AB58" s="42"/>
      <c r="AC58" s="42"/>
      <c r="AD58" s="61"/>
      <c r="AE58" s="42"/>
      <c r="AF58" s="61"/>
      <c r="AG58" s="42"/>
      <c r="AH58" s="61"/>
      <c r="AI58" s="42"/>
      <c r="AJ58" s="61"/>
      <c r="AK58" s="42"/>
      <c r="AL58" s="61"/>
      <c r="AM58" s="42"/>
      <c r="AN58" s="61"/>
      <c r="AO58" s="42"/>
      <c r="AP58" s="61"/>
      <c r="AQ58" s="42"/>
      <c r="AR58" s="61"/>
      <c r="AS58" s="42"/>
      <c r="AT58" s="61"/>
      <c r="AU58" s="61"/>
      <c r="AV58" s="61"/>
      <c r="AW58" s="42"/>
      <c r="AX58" s="286"/>
    </row>
    <row r="59" spans="2:53" ht="10.5" customHeight="1">
      <c r="B59" s="42"/>
      <c r="C59" s="42"/>
      <c r="D59" s="63" t="s">
        <v>258</v>
      </c>
      <c r="E59" s="16"/>
      <c r="F59" s="17"/>
      <c r="G59" s="16"/>
      <c r="H59" s="17"/>
      <c r="I59" s="16"/>
      <c r="J59" s="17"/>
      <c r="K59" s="16"/>
      <c r="L59" s="17"/>
      <c r="M59" s="16"/>
      <c r="N59" s="17"/>
      <c r="O59" s="16"/>
      <c r="P59" s="17"/>
      <c r="Q59" s="16"/>
      <c r="R59" s="17"/>
      <c r="S59" s="17"/>
      <c r="T59" s="17"/>
      <c r="U59" s="17"/>
      <c r="V59" s="17"/>
      <c r="W59" s="16"/>
      <c r="X59" s="17"/>
      <c r="Y59" s="16"/>
      <c r="Z59" s="17"/>
      <c r="AA59" s="28"/>
      <c r="AB59" s="28"/>
      <c r="AC59" s="28"/>
      <c r="AD59" s="64"/>
      <c r="AE59" s="28"/>
      <c r="AF59" s="64"/>
      <c r="AG59" s="28"/>
      <c r="AH59" s="64"/>
      <c r="AI59" s="28"/>
      <c r="AJ59" s="64"/>
      <c r="AK59" s="28"/>
      <c r="AL59" s="64"/>
      <c r="AM59" s="28"/>
      <c r="AN59" s="64"/>
      <c r="AO59" s="28"/>
      <c r="AP59" s="64"/>
      <c r="AQ59" s="28"/>
      <c r="AR59" s="64"/>
      <c r="AS59" s="28"/>
      <c r="AT59" s="64"/>
      <c r="AU59" s="64"/>
      <c r="AV59" s="64"/>
      <c r="AW59" s="42"/>
      <c r="AX59" s="63" t="s">
        <v>259</v>
      </c>
    </row>
    <row r="60" spans="2:53" ht="10.5" customHeight="1">
      <c r="B60" s="42">
        <v>25</v>
      </c>
      <c r="C60" s="42"/>
      <c r="D60" s="16" t="s">
        <v>260</v>
      </c>
      <c r="E60" s="28">
        <v>4983.3</v>
      </c>
      <c r="F60" s="17"/>
      <c r="G60" s="28">
        <v>5153.6000000000004</v>
      </c>
      <c r="H60" s="17"/>
      <c r="I60" s="28">
        <v>6101.4</v>
      </c>
      <c r="J60" s="17"/>
      <c r="K60" s="28">
        <v>5952.2</v>
      </c>
      <c r="L60" s="17"/>
      <c r="M60" s="28">
        <v>8600.6</v>
      </c>
      <c r="N60" s="17"/>
      <c r="O60" s="28">
        <v>10435.200000000001</v>
      </c>
      <c r="P60" s="17"/>
      <c r="Q60" s="28">
        <v>9818.7000000000007</v>
      </c>
      <c r="R60" s="17"/>
      <c r="S60" s="28">
        <v>11594.6</v>
      </c>
      <c r="T60" s="17"/>
      <c r="U60" s="28">
        <v>12685.7</v>
      </c>
      <c r="V60" s="17"/>
      <c r="W60" s="28">
        <v>14001.7</v>
      </c>
      <c r="X60" s="17"/>
      <c r="Y60" s="28">
        <v>13672.8</v>
      </c>
      <c r="Z60" s="17"/>
      <c r="AA60" s="28">
        <v>12642.6</v>
      </c>
      <c r="AB60" s="28"/>
      <c r="AC60" s="28">
        <v>11596.5</v>
      </c>
      <c r="AD60" s="67"/>
      <c r="AE60" s="28">
        <v>9551</v>
      </c>
      <c r="AF60" s="67"/>
      <c r="AG60" s="28">
        <v>10802</v>
      </c>
      <c r="AH60" s="64"/>
      <c r="AI60" s="184">
        <v>12980.949533459996</v>
      </c>
      <c r="AJ60" s="78">
        <v>4</v>
      </c>
      <c r="AK60" s="28">
        <v>11494.1</v>
      </c>
      <c r="AL60" s="23"/>
      <c r="AM60" s="28">
        <v>11526.6</v>
      </c>
      <c r="AN60" s="23"/>
      <c r="AO60" s="28">
        <v>12006</v>
      </c>
      <c r="AP60" s="78"/>
      <c r="AQ60" s="28">
        <v>14638.9</v>
      </c>
      <c r="AR60" s="64"/>
      <c r="AS60" s="28">
        <v>18033.8</v>
      </c>
      <c r="AT60" s="64"/>
      <c r="AU60" s="28">
        <v>19288.599999999999</v>
      </c>
      <c r="AV60" s="64"/>
      <c r="AW60" s="42"/>
      <c r="AX60" s="16" t="s">
        <v>261</v>
      </c>
      <c r="BA60" s="82"/>
    </row>
    <row r="61" spans="2:53" ht="10.5" customHeight="1">
      <c r="B61" s="42">
        <v>26</v>
      </c>
      <c r="C61" s="42"/>
      <c r="D61" s="16" t="s">
        <v>262</v>
      </c>
      <c r="E61" s="17" t="s">
        <v>78</v>
      </c>
      <c r="F61" s="17"/>
      <c r="G61" s="17" t="s">
        <v>78</v>
      </c>
      <c r="H61" s="17"/>
      <c r="I61" s="17" t="s">
        <v>78</v>
      </c>
      <c r="J61" s="17"/>
      <c r="K61" s="17" t="s">
        <v>78</v>
      </c>
      <c r="L61" s="75"/>
      <c r="M61" s="28">
        <v>1378.8</v>
      </c>
      <c r="N61" s="75"/>
      <c r="O61" s="28">
        <v>1639</v>
      </c>
      <c r="P61" s="75"/>
      <c r="Q61" s="28">
        <v>1752.8</v>
      </c>
      <c r="R61" s="75"/>
      <c r="S61" s="28">
        <v>1782</v>
      </c>
      <c r="T61" s="75"/>
      <c r="U61" s="28">
        <v>2087.5</v>
      </c>
      <c r="V61" s="75"/>
      <c r="W61" s="28">
        <v>2224</v>
      </c>
      <c r="X61" s="75"/>
      <c r="Y61" s="28">
        <v>2133.4</v>
      </c>
      <c r="Z61" s="75"/>
      <c r="AA61" s="28">
        <v>1696.8</v>
      </c>
      <c r="AB61" s="28"/>
      <c r="AC61" s="28">
        <v>2074.1999999999998</v>
      </c>
      <c r="AD61" s="67"/>
      <c r="AE61" s="28">
        <v>2472.6</v>
      </c>
      <c r="AF61" s="67"/>
      <c r="AG61" s="28">
        <v>2667.9</v>
      </c>
      <c r="AH61" s="75"/>
      <c r="AI61" s="28">
        <v>2266.9744614800002</v>
      </c>
      <c r="AJ61" s="75"/>
      <c r="AK61" s="28">
        <v>2722.5</v>
      </c>
      <c r="AL61" s="75"/>
      <c r="AM61" s="28">
        <v>3169.5</v>
      </c>
      <c r="AN61" s="75"/>
      <c r="AO61" s="28">
        <v>2602.9</v>
      </c>
      <c r="AP61" s="78"/>
      <c r="AQ61" s="28">
        <v>3268.7</v>
      </c>
      <c r="AR61" s="75"/>
      <c r="AS61" s="28">
        <v>3788.7</v>
      </c>
      <c r="AT61" s="75"/>
      <c r="AU61" s="28">
        <v>3730.4</v>
      </c>
      <c r="AV61" s="75"/>
      <c r="AW61" s="42"/>
      <c r="AX61" s="16" t="s">
        <v>263</v>
      </c>
    </row>
    <row r="62" spans="2:53" ht="10.5" customHeight="1">
      <c r="B62" s="42">
        <v>27</v>
      </c>
      <c r="C62" s="42"/>
      <c r="D62" s="16" t="s">
        <v>264</v>
      </c>
      <c r="E62" s="28">
        <v>2576</v>
      </c>
      <c r="F62" s="17"/>
      <c r="G62" s="28">
        <v>2783.9</v>
      </c>
      <c r="H62" s="17"/>
      <c r="I62" s="28">
        <v>3407.3</v>
      </c>
      <c r="J62" s="17"/>
      <c r="K62" s="28">
        <v>4155.1000000000004</v>
      </c>
      <c r="L62" s="17"/>
      <c r="M62" s="184">
        <v>2885.35</v>
      </c>
      <c r="N62" s="17"/>
      <c r="O62" s="28">
        <v>2912.0129999999999</v>
      </c>
      <c r="P62" s="17"/>
      <c r="Q62" s="28">
        <v>2961.6</v>
      </c>
      <c r="R62" s="17"/>
      <c r="S62" s="28">
        <v>3213.2</v>
      </c>
      <c r="T62" s="17"/>
      <c r="U62" s="28">
        <v>3665.8</v>
      </c>
      <c r="V62" s="17"/>
      <c r="W62" s="28">
        <v>4040.2</v>
      </c>
      <c r="X62" s="17"/>
      <c r="Y62" s="28">
        <v>4771</v>
      </c>
      <c r="Z62" s="17"/>
      <c r="AA62" s="28">
        <v>5075.7</v>
      </c>
      <c r="AB62" s="28"/>
      <c r="AC62" s="28">
        <v>5335.7</v>
      </c>
      <c r="AD62" s="67"/>
      <c r="AE62" s="28">
        <v>5523.9</v>
      </c>
      <c r="AF62" s="67"/>
      <c r="AG62" s="28">
        <v>6215.9</v>
      </c>
      <c r="AH62" s="64"/>
      <c r="AI62" s="28">
        <v>6249.63138764</v>
      </c>
      <c r="AJ62" s="64"/>
      <c r="AK62" s="28">
        <v>6310.7</v>
      </c>
      <c r="AL62" s="64"/>
      <c r="AM62" s="28">
        <v>6484.2939999999999</v>
      </c>
      <c r="AN62" s="64"/>
      <c r="AO62" s="28">
        <v>7320.6</v>
      </c>
      <c r="AP62" s="78"/>
      <c r="AQ62" s="28">
        <v>7038.7</v>
      </c>
      <c r="AR62" s="64"/>
      <c r="AS62" s="28">
        <v>6952.2999999999993</v>
      </c>
      <c r="AT62" s="64"/>
      <c r="AU62" s="28">
        <v>7750.7</v>
      </c>
      <c r="AV62" s="64"/>
      <c r="AW62" s="42"/>
      <c r="AX62" s="16" t="s">
        <v>265</v>
      </c>
    </row>
    <row r="63" spans="2:53" ht="10.5" customHeight="1">
      <c r="B63" s="42">
        <v>28</v>
      </c>
      <c r="C63" s="42"/>
      <c r="D63" s="18" t="s">
        <v>231</v>
      </c>
      <c r="E63" s="65">
        <v>7559.3</v>
      </c>
      <c r="F63" s="65"/>
      <c r="G63" s="65">
        <v>7937.5</v>
      </c>
      <c r="H63" s="65"/>
      <c r="I63" s="65">
        <v>9508.7000000000007</v>
      </c>
      <c r="J63" s="65"/>
      <c r="K63" s="65">
        <v>10107.299999999999</v>
      </c>
      <c r="L63" s="66"/>
      <c r="M63" s="65">
        <v>12864.75</v>
      </c>
      <c r="N63" s="65"/>
      <c r="O63" s="65">
        <v>14986.213</v>
      </c>
      <c r="P63" s="65"/>
      <c r="Q63" s="65">
        <v>14533.1</v>
      </c>
      <c r="R63" s="65"/>
      <c r="S63" s="65">
        <v>16589.8</v>
      </c>
      <c r="T63" s="65"/>
      <c r="U63" s="65">
        <v>18439</v>
      </c>
      <c r="V63" s="65"/>
      <c r="W63" s="65">
        <v>20265.900000000001</v>
      </c>
      <c r="X63" s="65"/>
      <c r="Y63" s="65">
        <v>20577.199999999997</v>
      </c>
      <c r="Z63" s="65"/>
      <c r="AA63" s="65">
        <v>19415.099999999999</v>
      </c>
      <c r="AB63" s="65"/>
      <c r="AC63" s="65">
        <v>19006.400000000001</v>
      </c>
      <c r="AD63" s="67"/>
      <c r="AE63" s="65">
        <v>17547.5</v>
      </c>
      <c r="AF63" s="67"/>
      <c r="AG63" s="65">
        <v>19685.8</v>
      </c>
      <c r="AH63" s="64"/>
      <c r="AI63" s="196">
        <v>21497.555382579994</v>
      </c>
      <c r="AJ63" s="78">
        <v>4</v>
      </c>
      <c r="AK63" s="65">
        <v>20527.3</v>
      </c>
      <c r="AL63" s="23"/>
      <c r="AM63" s="65">
        <v>21180.394</v>
      </c>
      <c r="AN63" s="23"/>
      <c r="AO63" s="65">
        <v>21929.5</v>
      </c>
      <c r="AP63" s="78"/>
      <c r="AQ63" s="65">
        <v>24946.300000000003</v>
      </c>
      <c r="AR63" s="64"/>
      <c r="AS63" s="65">
        <v>28774.799999999999</v>
      </c>
      <c r="AT63" s="64"/>
      <c r="AU63" s="65">
        <v>30769.7</v>
      </c>
      <c r="AV63" s="64"/>
      <c r="AW63" s="42"/>
      <c r="AX63" s="18" t="s">
        <v>84</v>
      </c>
    </row>
    <row r="64" spans="2:53" ht="4.5" customHeight="1">
      <c r="B64" s="80"/>
      <c r="C64" s="80"/>
      <c r="D64" s="46"/>
      <c r="E64" s="14"/>
      <c r="F64" s="14"/>
      <c r="G64" s="14"/>
      <c r="H64" s="14"/>
      <c r="I64" s="14"/>
      <c r="J64" s="14"/>
      <c r="K64" s="14"/>
      <c r="L64" s="14"/>
      <c r="M64" s="14"/>
      <c r="N64" s="14"/>
      <c r="O64" s="14"/>
      <c r="P64" s="14"/>
      <c r="Q64" s="14"/>
      <c r="R64" s="14"/>
      <c r="S64" s="14"/>
      <c r="T64" s="14"/>
      <c r="U64" s="14"/>
      <c r="V64" s="14"/>
      <c r="W64" s="14"/>
      <c r="X64" s="14"/>
      <c r="Y64" s="13"/>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46"/>
    </row>
    <row r="65" spans="2:96" ht="6" customHeight="1"/>
    <row r="66" spans="2:96">
      <c r="B66" s="212" t="s">
        <v>811</v>
      </c>
      <c r="BD66" s="16"/>
    </row>
    <row r="67" spans="2:96" ht="37.5" customHeight="1">
      <c r="B67" s="524" t="s">
        <v>1174</v>
      </c>
      <c r="C67" s="527"/>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527"/>
      <c r="AD67" s="527"/>
      <c r="AE67" s="527"/>
      <c r="AF67" s="527"/>
      <c r="AG67" s="527"/>
      <c r="AH67" s="527"/>
      <c r="AI67" s="527"/>
      <c r="AJ67" s="527"/>
      <c r="AK67" s="527"/>
      <c r="AL67" s="527"/>
      <c r="AM67" s="527"/>
      <c r="AN67" s="527"/>
      <c r="AO67" s="527"/>
      <c r="AP67" s="527"/>
      <c r="AQ67" s="527"/>
      <c r="AR67" s="527"/>
      <c r="AS67" s="527"/>
      <c r="AT67" s="527"/>
      <c r="AU67" s="527"/>
      <c r="AV67" s="527"/>
      <c r="AW67" s="527"/>
      <c r="AX67" s="527"/>
      <c r="BD67" s="16"/>
    </row>
    <row r="68" spans="2:96" ht="48" customHeight="1">
      <c r="B68" s="524" t="s">
        <v>1175</v>
      </c>
      <c r="C68" s="527"/>
      <c r="D68" s="527"/>
      <c r="E68" s="527"/>
      <c r="F68" s="527"/>
      <c r="G68" s="527"/>
      <c r="H68" s="527"/>
      <c r="I68" s="527"/>
      <c r="J68" s="527"/>
      <c r="K68" s="527"/>
      <c r="L68" s="527"/>
      <c r="M68" s="527"/>
      <c r="N68" s="527"/>
      <c r="O68" s="527"/>
      <c r="P68" s="527"/>
      <c r="Q68" s="527"/>
      <c r="R68" s="527"/>
      <c r="S68" s="527"/>
      <c r="T68" s="527"/>
      <c r="U68" s="527"/>
      <c r="V68" s="527"/>
      <c r="W68" s="527"/>
      <c r="X68" s="527"/>
      <c r="Y68" s="527"/>
      <c r="Z68" s="527"/>
      <c r="AA68" s="527"/>
      <c r="AB68" s="527"/>
      <c r="AC68" s="527"/>
      <c r="AD68" s="527"/>
      <c r="AE68" s="527"/>
      <c r="AF68" s="527"/>
      <c r="AG68" s="527"/>
      <c r="AH68" s="527"/>
      <c r="AI68" s="527"/>
      <c r="AJ68" s="527"/>
      <c r="AK68" s="527"/>
      <c r="AL68" s="527"/>
      <c r="AM68" s="527"/>
      <c r="AN68" s="527"/>
      <c r="AO68" s="527"/>
      <c r="AP68" s="527"/>
      <c r="AQ68" s="527"/>
      <c r="AR68" s="527"/>
      <c r="AS68" s="527"/>
      <c r="AT68" s="527"/>
      <c r="AU68" s="527"/>
      <c r="AV68" s="527"/>
      <c r="AW68" s="527"/>
      <c r="AX68" s="527"/>
      <c r="AZ68" s="212"/>
      <c r="BA68" s="315"/>
      <c r="BB68" s="315"/>
      <c r="BC68" s="315"/>
      <c r="BD68" s="16"/>
      <c r="BE68" s="315"/>
      <c r="BF68" s="315"/>
      <c r="BG68" s="315"/>
      <c r="BH68" s="315"/>
      <c r="BI68" s="315"/>
      <c r="BJ68" s="315"/>
      <c r="BK68" s="315"/>
      <c r="BL68" s="315"/>
      <c r="BM68" s="315"/>
      <c r="BN68" s="315"/>
      <c r="BO68" s="315"/>
      <c r="BP68" s="315"/>
      <c r="BQ68" s="315"/>
      <c r="BR68" s="315"/>
      <c r="BS68" s="315"/>
      <c r="BT68" s="315"/>
      <c r="BU68" s="315"/>
      <c r="BV68" s="315"/>
      <c r="BW68" s="315"/>
      <c r="BX68" s="315"/>
      <c r="BY68" s="315"/>
      <c r="BZ68" s="315"/>
      <c r="CA68" s="315"/>
      <c r="CB68" s="315"/>
      <c r="CC68" s="315"/>
      <c r="CD68" s="315"/>
      <c r="CE68" s="315"/>
      <c r="CF68" s="315"/>
      <c r="CG68" s="315"/>
      <c r="CH68" s="315"/>
      <c r="CI68" s="315"/>
      <c r="CJ68" s="315"/>
      <c r="CK68" s="315"/>
      <c r="CL68" s="315"/>
      <c r="CM68" s="315"/>
      <c r="CN68" s="315"/>
      <c r="CO68" s="315"/>
      <c r="CP68" s="315"/>
      <c r="CQ68" s="315"/>
      <c r="CR68" s="315"/>
    </row>
    <row r="69" spans="2:96" ht="37.5" customHeight="1">
      <c r="B69" s="524" t="s">
        <v>1176</v>
      </c>
      <c r="C69" s="525"/>
      <c r="D69" s="525"/>
      <c r="E69" s="525"/>
      <c r="F69" s="525"/>
      <c r="G69" s="525"/>
      <c r="H69" s="525"/>
      <c r="I69" s="525"/>
      <c r="J69" s="525"/>
      <c r="K69" s="525"/>
      <c r="L69" s="525"/>
      <c r="M69" s="525"/>
      <c r="N69" s="525"/>
      <c r="O69" s="525"/>
      <c r="P69" s="525"/>
      <c r="Q69" s="525"/>
      <c r="R69" s="525"/>
      <c r="S69" s="525"/>
      <c r="T69" s="525"/>
      <c r="U69" s="525"/>
      <c r="V69" s="525"/>
      <c r="W69" s="525"/>
      <c r="X69" s="525"/>
      <c r="Y69" s="525"/>
      <c r="Z69" s="525"/>
      <c r="AA69" s="525"/>
      <c r="AB69" s="525"/>
      <c r="AC69" s="525"/>
      <c r="AD69" s="525"/>
      <c r="AE69" s="525"/>
      <c r="AF69" s="525"/>
      <c r="AG69" s="525"/>
      <c r="AH69" s="525"/>
      <c r="AI69" s="525"/>
      <c r="AJ69" s="525"/>
      <c r="AK69" s="525"/>
      <c r="AL69" s="525"/>
      <c r="AM69" s="525"/>
      <c r="AN69" s="525"/>
      <c r="AO69" s="525"/>
      <c r="AP69" s="525"/>
      <c r="AQ69" s="525"/>
      <c r="AR69" s="525"/>
      <c r="AS69" s="525"/>
      <c r="AT69" s="525"/>
      <c r="AU69" s="525"/>
      <c r="AV69" s="525"/>
      <c r="AW69" s="525"/>
      <c r="AX69" s="525"/>
      <c r="BD69" s="16"/>
    </row>
    <row r="70" spans="2:96">
      <c r="B70" s="212"/>
      <c r="BD70" s="53"/>
    </row>
    <row r="71" spans="2:96">
      <c r="BD71" s="53"/>
    </row>
    <row r="72" spans="2:96" ht="15.75" customHeight="1">
      <c r="B72" s="10" t="s">
        <v>1080</v>
      </c>
      <c r="C72" s="10"/>
      <c r="BD72" s="53"/>
    </row>
    <row r="73" spans="2:96" ht="15.75" customHeight="1">
      <c r="B73" s="156" t="s">
        <v>1081</v>
      </c>
      <c r="D73" s="10"/>
      <c r="E73" s="10"/>
      <c r="F73" s="10"/>
      <c r="G73" s="10"/>
      <c r="H73" s="10"/>
      <c r="I73" s="10"/>
      <c r="J73" s="10"/>
      <c r="K73" s="10"/>
      <c r="L73" s="10"/>
      <c r="M73" s="10"/>
      <c r="N73" s="10"/>
      <c r="O73" s="10"/>
      <c r="P73" s="10"/>
      <c r="Q73" s="10"/>
      <c r="R73" s="10"/>
      <c r="BD73" s="53"/>
    </row>
    <row r="74" spans="2:96" ht="6" customHeight="1">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row>
    <row r="75" spans="2:96" ht="6" customHeight="1"/>
    <row r="76" spans="2:96">
      <c r="B76" s="523" t="s">
        <v>266</v>
      </c>
      <c r="C76" s="523"/>
      <c r="D76" s="523"/>
      <c r="E76" s="281">
        <v>2000</v>
      </c>
      <c r="F76" s="404"/>
      <c r="G76" s="281">
        <v>2001</v>
      </c>
      <c r="H76" s="404"/>
      <c r="I76" s="281">
        <v>2002</v>
      </c>
      <c r="J76" s="404"/>
      <c r="K76" s="281">
        <v>2003</v>
      </c>
      <c r="L76" s="404"/>
      <c r="M76" s="281">
        <v>2004</v>
      </c>
      <c r="N76" s="404"/>
      <c r="O76" s="281">
        <v>2005</v>
      </c>
      <c r="P76" s="404"/>
      <c r="Q76" s="281">
        <v>2006</v>
      </c>
      <c r="R76" s="404"/>
      <c r="S76" s="281">
        <v>2007</v>
      </c>
      <c r="T76" s="404"/>
      <c r="U76" s="281">
        <v>2008</v>
      </c>
      <c r="V76" s="404"/>
      <c r="W76" s="281">
        <v>2009</v>
      </c>
      <c r="X76" s="404"/>
      <c r="Y76" s="405">
        <v>2010</v>
      </c>
      <c r="Z76" s="406"/>
      <c r="AA76" s="281">
        <v>2011</v>
      </c>
      <c r="AB76" s="404"/>
      <c r="AC76" s="281">
        <v>2012</v>
      </c>
      <c r="AD76" s="404"/>
      <c r="AE76" s="281">
        <v>2013</v>
      </c>
      <c r="AF76" s="404"/>
      <c r="AG76" s="281">
        <v>2014</v>
      </c>
      <c r="AH76" s="281"/>
      <c r="AI76" s="281">
        <v>2015</v>
      </c>
      <c r="AJ76" s="281"/>
      <c r="AK76" s="281">
        <v>2016</v>
      </c>
      <c r="AL76" s="281"/>
      <c r="AM76" s="281">
        <v>2017</v>
      </c>
      <c r="AN76" s="281"/>
      <c r="AO76" s="281">
        <v>2018</v>
      </c>
      <c r="AP76" s="281"/>
      <c r="AQ76" s="281">
        <v>2019</v>
      </c>
      <c r="AR76" s="281"/>
      <c r="AS76" s="281">
        <v>2020</v>
      </c>
      <c r="AT76" s="281"/>
      <c r="AU76" s="281">
        <v>2021</v>
      </c>
      <c r="AV76" s="281"/>
      <c r="AW76" s="63"/>
      <c r="AX76" s="63" t="s">
        <v>267</v>
      </c>
    </row>
    <row r="77" spans="2:96" ht="6" customHeight="1">
      <c r="B77" s="79"/>
      <c r="C77" s="79"/>
      <c r="D77" s="79"/>
      <c r="E77" s="290"/>
      <c r="F77" s="142"/>
      <c r="G77" s="290"/>
      <c r="H77" s="142"/>
      <c r="I77" s="290"/>
      <c r="J77" s="142"/>
      <c r="K77" s="290"/>
      <c r="L77" s="142"/>
      <c r="M77" s="290"/>
      <c r="N77" s="142"/>
      <c r="O77" s="290"/>
      <c r="P77" s="142"/>
      <c r="Q77" s="290"/>
      <c r="R77" s="142"/>
      <c r="S77" s="290"/>
      <c r="T77" s="142"/>
      <c r="U77" s="290"/>
      <c r="V77" s="142"/>
      <c r="W77" s="290"/>
      <c r="X77" s="142"/>
      <c r="Y77" s="290"/>
      <c r="Z77" s="142"/>
      <c r="AA77" s="290"/>
      <c r="AB77" s="290"/>
      <c r="AC77" s="290"/>
      <c r="AD77" s="142"/>
      <c r="AE77" s="290"/>
      <c r="AF77" s="142"/>
      <c r="AG77" s="290"/>
      <c r="AH77" s="142"/>
      <c r="AI77" s="290"/>
      <c r="AJ77" s="142"/>
      <c r="AK77" s="290"/>
      <c r="AL77" s="142"/>
      <c r="AM77" s="290"/>
      <c r="AN77" s="142"/>
      <c r="AO77" s="290"/>
      <c r="AP77" s="142"/>
      <c r="AQ77" s="290"/>
      <c r="AR77" s="142"/>
      <c r="AS77" s="79"/>
      <c r="AT77" s="79"/>
      <c r="AU77" s="79"/>
      <c r="AV77" s="79"/>
      <c r="AW77" s="79"/>
      <c r="AX77" s="79"/>
    </row>
    <row r="78" spans="2:96" ht="6" customHeight="1">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row>
    <row r="79" spans="2:96" ht="10.5" customHeight="1">
      <c r="B79" s="42"/>
      <c r="C79" s="42"/>
      <c r="D79" s="63" t="s">
        <v>268</v>
      </c>
      <c r="F79" s="17"/>
      <c r="H79" s="17"/>
      <c r="J79" s="17"/>
      <c r="L79" s="17"/>
      <c r="N79" s="17"/>
      <c r="P79" s="17"/>
      <c r="R79" s="17"/>
      <c r="S79" s="64"/>
      <c r="T79" s="27"/>
      <c r="V79" s="17"/>
      <c r="W79" s="64"/>
      <c r="X79" s="17"/>
      <c r="Y79" s="64"/>
      <c r="Z79" s="17"/>
      <c r="AA79" s="64"/>
      <c r="AB79" s="64"/>
      <c r="AC79" s="64"/>
      <c r="AD79" s="27"/>
      <c r="AE79" s="64"/>
      <c r="AF79" s="27"/>
      <c r="AG79" s="64"/>
      <c r="AH79" s="27"/>
      <c r="AI79" s="64"/>
      <c r="AJ79" s="27"/>
      <c r="AK79" s="64"/>
      <c r="AL79" s="27"/>
      <c r="AM79" s="64"/>
      <c r="AN79" s="27"/>
      <c r="AO79" s="64"/>
      <c r="AP79" s="27"/>
      <c r="AQ79" s="64"/>
      <c r="AR79" s="27"/>
      <c r="AS79" s="17"/>
      <c r="AT79" s="17"/>
      <c r="AU79" s="17"/>
      <c r="AV79" s="17"/>
      <c r="AW79" s="17"/>
      <c r="AX79" s="63" t="s">
        <v>269</v>
      </c>
    </row>
    <row r="80" spans="2:96" ht="10.5" customHeight="1">
      <c r="B80" s="42">
        <v>1</v>
      </c>
      <c r="C80" s="42"/>
      <c r="D80" s="16" t="s">
        <v>113</v>
      </c>
      <c r="E80" s="17" t="s">
        <v>78</v>
      </c>
      <c r="F80" s="23"/>
      <c r="G80" s="17" t="s">
        <v>78</v>
      </c>
      <c r="H80" s="17"/>
      <c r="I80" s="28">
        <v>716</v>
      </c>
      <c r="J80" s="17"/>
      <c r="K80" s="28">
        <v>801</v>
      </c>
      <c r="L80" s="17"/>
      <c r="M80" s="28">
        <v>834</v>
      </c>
      <c r="N80" s="17"/>
      <c r="O80" s="28">
        <v>888</v>
      </c>
      <c r="P80" s="17"/>
      <c r="Q80" s="28">
        <v>933</v>
      </c>
      <c r="R80" s="17"/>
      <c r="S80" s="28">
        <v>1081</v>
      </c>
      <c r="T80" s="17"/>
      <c r="U80" s="28">
        <v>1125</v>
      </c>
      <c r="V80" s="17"/>
      <c r="W80" s="28">
        <v>1126</v>
      </c>
      <c r="X80" s="255"/>
      <c r="Y80" s="28">
        <v>252</v>
      </c>
      <c r="Z80" s="23"/>
      <c r="AA80" s="28">
        <v>256</v>
      </c>
      <c r="AB80" s="28"/>
      <c r="AC80" s="28">
        <v>249</v>
      </c>
      <c r="AD80" s="27"/>
      <c r="AE80" s="28">
        <v>236</v>
      </c>
      <c r="AF80" s="27"/>
      <c r="AG80" s="28">
        <v>73</v>
      </c>
      <c r="AH80" s="78"/>
      <c r="AI80" s="28">
        <v>73</v>
      </c>
      <c r="AJ80" s="27"/>
      <c r="AK80" s="26" t="s">
        <v>78</v>
      </c>
      <c r="AL80" s="78"/>
      <c r="AM80" s="26" t="s">
        <v>78</v>
      </c>
      <c r="AN80" s="78"/>
      <c r="AO80" s="26" t="s">
        <v>78</v>
      </c>
      <c r="AP80" s="78"/>
      <c r="AQ80" s="26" t="s">
        <v>78</v>
      </c>
      <c r="AR80" s="27"/>
      <c r="AS80" s="26" t="s">
        <v>78</v>
      </c>
      <c r="AT80" s="17"/>
      <c r="AU80" s="26" t="s">
        <v>78</v>
      </c>
      <c r="AV80" s="17"/>
      <c r="AW80" s="17"/>
      <c r="AX80" s="16" t="s">
        <v>128</v>
      </c>
    </row>
    <row r="81" spans="2:54" ht="10.5" customHeight="1">
      <c r="B81" s="42">
        <v>2</v>
      </c>
      <c r="C81" s="42"/>
      <c r="D81" s="16" t="s">
        <v>114</v>
      </c>
      <c r="E81" s="17" t="s">
        <v>78</v>
      </c>
      <c r="F81" s="23"/>
      <c r="G81" s="17" t="s">
        <v>78</v>
      </c>
      <c r="H81" s="17"/>
      <c r="I81" s="28">
        <v>4653</v>
      </c>
      <c r="J81" s="17"/>
      <c r="K81" s="28">
        <v>4715</v>
      </c>
      <c r="L81" s="17"/>
      <c r="M81" s="28">
        <v>4610</v>
      </c>
      <c r="N81" s="17"/>
      <c r="O81" s="28">
        <v>4518</v>
      </c>
      <c r="P81" s="17"/>
      <c r="Q81" s="28">
        <v>4449</v>
      </c>
      <c r="R81" s="17"/>
      <c r="S81" s="28">
        <v>4589</v>
      </c>
      <c r="T81" s="17"/>
      <c r="U81" s="28">
        <v>4691</v>
      </c>
      <c r="V81" s="17"/>
      <c r="W81" s="28">
        <v>4551</v>
      </c>
      <c r="X81" s="255"/>
      <c r="Y81" s="28">
        <v>2749</v>
      </c>
      <c r="Z81" s="23"/>
      <c r="AA81" s="28">
        <v>2532</v>
      </c>
      <c r="AB81" s="28"/>
      <c r="AC81" s="28">
        <v>2459</v>
      </c>
      <c r="AD81" s="27"/>
      <c r="AE81" s="28">
        <v>2314</v>
      </c>
      <c r="AF81" s="27"/>
      <c r="AG81" s="28">
        <v>1848</v>
      </c>
      <c r="AH81" s="78"/>
      <c r="AI81" s="28">
        <v>1716</v>
      </c>
      <c r="AJ81" s="27"/>
      <c r="AK81" s="26" t="s">
        <v>78</v>
      </c>
      <c r="AL81" s="78"/>
      <c r="AM81" s="26" t="s">
        <v>78</v>
      </c>
      <c r="AN81" s="78"/>
      <c r="AO81" s="26" t="s">
        <v>78</v>
      </c>
      <c r="AP81" s="78"/>
      <c r="AQ81" s="26" t="s">
        <v>78</v>
      </c>
      <c r="AR81" s="27"/>
      <c r="AS81" s="26" t="s">
        <v>78</v>
      </c>
      <c r="AT81" s="17"/>
      <c r="AU81" s="26" t="s">
        <v>78</v>
      </c>
      <c r="AV81" s="17"/>
      <c r="AW81" s="17"/>
      <c r="AX81" s="16" t="s">
        <v>129</v>
      </c>
      <c r="AY81" s="82"/>
      <c r="AZ81" s="82"/>
      <c r="BA81" s="82"/>
    </row>
    <row r="82" spans="2:54" ht="10.5" customHeight="1">
      <c r="B82" s="42">
        <v>3</v>
      </c>
      <c r="C82" s="42"/>
      <c r="D82" s="18" t="s">
        <v>231</v>
      </c>
      <c r="E82" s="65">
        <v>5730.5</v>
      </c>
      <c r="F82" s="66"/>
      <c r="G82" s="65">
        <v>5544</v>
      </c>
      <c r="H82" s="66"/>
      <c r="I82" s="65">
        <v>5369</v>
      </c>
      <c r="J82" s="66"/>
      <c r="K82" s="65">
        <v>5516</v>
      </c>
      <c r="L82" s="66"/>
      <c r="M82" s="65">
        <v>5444</v>
      </c>
      <c r="N82" s="66"/>
      <c r="O82" s="65">
        <v>5406</v>
      </c>
      <c r="P82" s="66"/>
      <c r="Q82" s="65">
        <v>5382</v>
      </c>
      <c r="R82" s="66"/>
      <c r="S82" s="65">
        <v>5670</v>
      </c>
      <c r="T82" s="66"/>
      <c r="U82" s="65">
        <v>5816</v>
      </c>
      <c r="V82" s="66"/>
      <c r="W82" s="65">
        <v>5677</v>
      </c>
      <c r="X82" s="256"/>
      <c r="Y82" s="65">
        <v>3001</v>
      </c>
      <c r="Z82" s="67"/>
      <c r="AA82" s="65">
        <v>2788</v>
      </c>
      <c r="AB82" s="65"/>
      <c r="AC82" s="65">
        <v>2708</v>
      </c>
      <c r="AD82" s="27"/>
      <c r="AE82" s="65">
        <v>2550</v>
      </c>
      <c r="AF82" s="27"/>
      <c r="AG82" s="65">
        <v>1921</v>
      </c>
      <c r="AH82" s="78"/>
      <c r="AI82" s="65">
        <v>1789</v>
      </c>
      <c r="AJ82" s="27"/>
      <c r="AK82" s="26" t="s">
        <v>78</v>
      </c>
      <c r="AL82" s="78"/>
      <c r="AM82" s="26" t="s">
        <v>78</v>
      </c>
      <c r="AN82" s="78"/>
      <c r="AO82" s="26" t="s">
        <v>78</v>
      </c>
      <c r="AP82" s="78"/>
      <c r="AQ82" s="26" t="s">
        <v>78</v>
      </c>
      <c r="AR82" s="27"/>
      <c r="AS82" s="26" t="s">
        <v>78</v>
      </c>
      <c r="AT82" s="17"/>
      <c r="AU82" s="26" t="s">
        <v>78</v>
      </c>
      <c r="AV82" s="17"/>
      <c r="AW82" s="17"/>
      <c r="AX82" s="18" t="s">
        <v>84</v>
      </c>
      <c r="BA82" s="82"/>
    </row>
    <row r="83" spans="2:54" ht="6" customHeight="1">
      <c r="B83" s="34"/>
      <c r="C83" s="34"/>
      <c r="D83" s="56"/>
      <c r="E83" s="83"/>
      <c r="F83" s="84"/>
      <c r="G83" s="83"/>
      <c r="H83" s="84"/>
      <c r="I83" s="83"/>
      <c r="J83" s="84"/>
      <c r="K83" s="83"/>
      <c r="L83" s="84"/>
      <c r="M83" s="83"/>
      <c r="N83" s="84"/>
      <c r="O83" s="83"/>
      <c r="P83" s="84"/>
      <c r="Q83" s="83"/>
      <c r="R83" s="84"/>
      <c r="S83" s="83"/>
      <c r="T83" s="84"/>
      <c r="U83" s="83"/>
      <c r="V83" s="84"/>
      <c r="W83" s="83"/>
      <c r="X83" s="84"/>
      <c r="Y83" s="83"/>
      <c r="Z83" s="85"/>
      <c r="AA83" s="83"/>
      <c r="AB83" s="83"/>
      <c r="AC83" s="83"/>
      <c r="AD83" s="72"/>
      <c r="AE83" s="83"/>
      <c r="AF83" s="72"/>
      <c r="AG83" s="83"/>
      <c r="AH83" s="72"/>
      <c r="AI83" s="83"/>
      <c r="AJ83" s="72"/>
      <c r="AK83" s="83"/>
      <c r="AL83" s="72"/>
      <c r="AM83" s="83"/>
      <c r="AN83" s="72"/>
      <c r="AO83" s="83"/>
      <c r="AP83" s="72"/>
      <c r="AQ83" s="83"/>
      <c r="AR83" s="72"/>
      <c r="AS83" s="41"/>
      <c r="AT83" s="41"/>
      <c r="AU83" s="41"/>
      <c r="AV83" s="41"/>
      <c r="AW83" s="41"/>
      <c r="AX83" s="56"/>
    </row>
    <row r="84" spans="2:54" ht="6" customHeight="1">
      <c r="B84" s="42"/>
      <c r="C84" s="42"/>
      <c r="D84" s="16"/>
      <c r="E84" s="28"/>
      <c r="F84" s="17"/>
      <c r="G84" s="28"/>
      <c r="H84" s="17"/>
      <c r="I84" s="28"/>
      <c r="J84" s="17"/>
      <c r="K84" s="28"/>
      <c r="L84" s="17"/>
      <c r="M84" s="28"/>
      <c r="N84" s="17"/>
      <c r="O84" s="28"/>
      <c r="P84" s="17"/>
      <c r="Q84" s="28"/>
      <c r="R84" s="17"/>
      <c r="S84" s="28"/>
      <c r="T84" s="17"/>
      <c r="U84" s="28"/>
      <c r="V84" s="17"/>
      <c r="W84" s="28"/>
      <c r="X84" s="17"/>
      <c r="Y84" s="28"/>
      <c r="Z84" s="23"/>
      <c r="AA84" s="28"/>
      <c r="AB84" s="28"/>
      <c r="AC84" s="28"/>
      <c r="AD84" s="27"/>
      <c r="AE84" s="28"/>
      <c r="AF84" s="27"/>
      <c r="AG84" s="28"/>
      <c r="AH84" s="27"/>
      <c r="AI84" s="28"/>
      <c r="AJ84" s="27"/>
      <c r="AK84" s="28"/>
      <c r="AL84" s="27"/>
      <c r="AM84" s="28"/>
      <c r="AN84" s="27"/>
      <c r="AO84" s="28"/>
      <c r="AP84" s="27"/>
      <c r="AQ84" s="28"/>
      <c r="AR84" s="27"/>
      <c r="AS84" s="17"/>
      <c r="AT84" s="17"/>
      <c r="AU84" s="17"/>
      <c r="AV84" s="17"/>
      <c r="AW84" s="17"/>
      <c r="AX84" s="16"/>
    </row>
    <row r="85" spans="2:54" ht="10.5" customHeight="1">
      <c r="B85" s="42"/>
      <c r="C85" s="42"/>
      <c r="D85" s="63" t="s">
        <v>270</v>
      </c>
      <c r="F85" s="17"/>
      <c r="H85" s="17"/>
      <c r="J85" s="17"/>
      <c r="L85" s="17"/>
      <c r="N85" s="17"/>
      <c r="P85" s="17"/>
      <c r="R85" s="17"/>
      <c r="T85" s="17"/>
      <c r="V85" s="17"/>
      <c r="X85" s="17"/>
      <c r="Y85" s="28"/>
      <c r="Z85" s="23"/>
      <c r="AA85" s="28"/>
      <c r="AB85" s="28"/>
      <c r="AC85" s="28"/>
      <c r="AD85" s="27"/>
      <c r="AE85" s="28"/>
      <c r="AF85" s="27"/>
      <c r="AG85" s="28"/>
      <c r="AH85" s="27"/>
      <c r="AI85" s="28"/>
      <c r="AJ85" s="27"/>
      <c r="AK85" s="28"/>
      <c r="AL85" s="27"/>
      <c r="AM85" s="28"/>
      <c r="AN85" s="27"/>
      <c r="AO85" s="28"/>
      <c r="AP85" s="27"/>
      <c r="AQ85" s="28"/>
      <c r="AR85" s="27"/>
      <c r="AS85" s="17"/>
      <c r="AT85" s="17"/>
      <c r="AU85" s="17"/>
      <c r="AV85" s="17"/>
      <c r="AW85" s="17"/>
      <c r="AX85" s="63" t="s">
        <v>271</v>
      </c>
    </row>
    <row r="86" spans="2:54" ht="10.5" customHeight="1">
      <c r="B86" s="42">
        <v>4</v>
      </c>
      <c r="C86" s="42"/>
      <c r="D86" s="16" t="s">
        <v>113</v>
      </c>
      <c r="E86" s="17" t="s">
        <v>78</v>
      </c>
      <c r="F86" s="23"/>
      <c r="G86" s="17" t="s">
        <v>78</v>
      </c>
      <c r="H86" s="23"/>
      <c r="I86" s="28">
        <v>306.3</v>
      </c>
      <c r="J86" s="23"/>
      <c r="K86" s="28">
        <v>328.3</v>
      </c>
      <c r="L86" s="23"/>
      <c r="M86" s="28">
        <v>345</v>
      </c>
      <c r="N86" s="23"/>
      <c r="O86" s="28">
        <v>343</v>
      </c>
      <c r="P86" s="23"/>
      <c r="Q86" s="28">
        <v>354</v>
      </c>
      <c r="R86" s="23"/>
      <c r="S86" s="28">
        <v>313</v>
      </c>
      <c r="T86" s="17"/>
      <c r="U86" s="28">
        <v>342</v>
      </c>
      <c r="V86" s="23"/>
      <c r="W86" s="28">
        <v>360</v>
      </c>
      <c r="X86" s="23"/>
      <c r="Y86" s="28">
        <v>373</v>
      </c>
      <c r="Z86" s="23"/>
      <c r="AA86" s="28">
        <v>365</v>
      </c>
      <c r="AB86" s="28"/>
      <c r="AC86" s="28">
        <v>366</v>
      </c>
      <c r="AD86" s="27"/>
      <c r="AE86" s="28">
        <v>365</v>
      </c>
      <c r="AF86" s="27"/>
      <c r="AG86" s="28">
        <v>371</v>
      </c>
      <c r="AH86" s="27"/>
      <c r="AI86" s="28">
        <v>388</v>
      </c>
      <c r="AJ86" s="27"/>
      <c r="AK86" s="28">
        <v>389</v>
      </c>
      <c r="AL86" s="27"/>
      <c r="AM86" s="28">
        <v>392</v>
      </c>
      <c r="AN86" s="27"/>
      <c r="AO86" s="28">
        <v>410</v>
      </c>
      <c r="AP86" s="27"/>
      <c r="AQ86" s="28">
        <v>428</v>
      </c>
      <c r="AR86" s="78" t="s">
        <v>810</v>
      </c>
      <c r="AS86" s="28">
        <v>451</v>
      </c>
      <c r="AT86" s="78" t="s">
        <v>810</v>
      </c>
      <c r="AU86" s="28">
        <v>442</v>
      </c>
      <c r="AV86" s="17"/>
      <c r="AW86" s="17"/>
      <c r="AX86" s="16" t="s">
        <v>128</v>
      </c>
    </row>
    <row r="87" spans="2:54" ht="10.5" customHeight="1">
      <c r="B87" s="42">
        <v>5</v>
      </c>
      <c r="C87" s="42"/>
      <c r="D87" s="16" t="s">
        <v>114</v>
      </c>
      <c r="E87" s="17" t="s">
        <v>78</v>
      </c>
      <c r="F87" s="23"/>
      <c r="G87" s="17" t="s">
        <v>78</v>
      </c>
      <c r="H87" s="23"/>
      <c r="I87" s="28">
        <v>845.7</v>
      </c>
      <c r="J87" s="23"/>
      <c r="K87" s="28">
        <v>840.7</v>
      </c>
      <c r="L87" s="23"/>
      <c r="M87" s="28">
        <v>838</v>
      </c>
      <c r="N87" s="23"/>
      <c r="O87" s="28">
        <v>838</v>
      </c>
      <c r="P87" s="23"/>
      <c r="Q87" s="28">
        <v>899</v>
      </c>
      <c r="R87" s="23"/>
      <c r="S87" s="28">
        <v>804</v>
      </c>
      <c r="T87" s="23"/>
      <c r="U87" s="28">
        <v>647</v>
      </c>
      <c r="V87" s="23"/>
      <c r="W87" s="28">
        <v>670</v>
      </c>
      <c r="X87" s="23"/>
      <c r="Y87" s="28">
        <v>782</v>
      </c>
      <c r="Z87" s="23"/>
      <c r="AA87" s="28">
        <v>754</v>
      </c>
      <c r="AB87" s="28"/>
      <c r="AC87" s="28">
        <v>736</v>
      </c>
      <c r="AD87" s="27"/>
      <c r="AE87" s="28">
        <v>745</v>
      </c>
      <c r="AF87" s="27"/>
      <c r="AG87" s="28">
        <v>714</v>
      </c>
      <c r="AH87" s="27"/>
      <c r="AI87" s="28">
        <v>732</v>
      </c>
      <c r="AJ87" s="27"/>
      <c r="AK87" s="28">
        <v>732</v>
      </c>
      <c r="AL87" s="27"/>
      <c r="AM87" s="28">
        <v>749</v>
      </c>
      <c r="AN87" s="27"/>
      <c r="AO87" s="28">
        <v>750</v>
      </c>
      <c r="AP87" s="27"/>
      <c r="AQ87" s="28">
        <v>725</v>
      </c>
      <c r="AR87" s="78" t="s">
        <v>810</v>
      </c>
      <c r="AS87" s="28">
        <v>730</v>
      </c>
      <c r="AT87" s="78" t="s">
        <v>810</v>
      </c>
      <c r="AU87" s="28">
        <v>685</v>
      </c>
      <c r="AV87" s="17"/>
      <c r="AW87" s="17"/>
      <c r="AX87" s="16" t="s">
        <v>129</v>
      </c>
    </row>
    <row r="88" spans="2:54" ht="10.5" customHeight="1">
      <c r="B88" s="42">
        <v>6</v>
      </c>
      <c r="C88" s="42"/>
      <c r="D88" s="18" t="s">
        <v>231</v>
      </c>
      <c r="E88" s="65">
        <v>1038</v>
      </c>
      <c r="F88" s="67"/>
      <c r="G88" s="65">
        <v>1041</v>
      </c>
      <c r="H88" s="67"/>
      <c r="I88" s="65">
        <v>1152</v>
      </c>
      <c r="J88" s="67"/>
      <c r="K88" s="65">
        <v>1169</v>
      </c>
      <c r="L88" s="67"/>
      <c r="M88" s="65">
        <v>1183</v>
      </c>
      <c r="N88" s="67"/>
      <c r="O88" s="65">
        <v>1181</v>
      </c>
      <c r="P88" s="67"/>
      <c r="Q88" s="65">
        <v>1253</v>
      </c>
      <c r="R88" s="67"/>
      <c r="S88" s="65">
        <v>1117</v>
      </c>
      <c r="T88" s="67"/>
      <c r="U88" s="65">
        <v>989</v>
      </c>
      <c r="V88" s="67"/>
      <c r="W88" s="65">
        <v>1030</v>
      </c>
      <c r="X88" s="67"/>
      <c r="Y88" s="65">
        <v>1155</v>
      </c>
      <c r="Z88" s="67"/>
      <c r="AA88" s="65">
        <v>1119</v>
      </c>
      <c r="AB88" s="65"/>
      <c r="AC88" s="65">
        <v>1102</v>
      </c>
      <c r="AD88" s="27"/>
      <c r="AE88" s="65">
        <v>1110</v>
      </c>
      <c r="AF88" s="27"/>
      <c r="AG88" s="65">
        <v>1085</v>
      </c>
      <c r="AH88" s="27"/>
      <c r="AI88" s="65">
        <v>1120</v>
      </c>
      <c r="AJ88" s="27"/>
      <c r="AK88" s="65">
        <v>1121</v>
      </c>
      <c r="AL88" s="27"/>
      <c r="AM88" s="65">
        <v>1141</v>
      </c>
      <c r="AN88" s="27"/>
      <c r="AO88" s="65">
        <v>1160</v>
      </c>
      <c r="AP88" s="27"/>
      <c r="AQ88" s="261">
        <v>1153</v>
      </c>
      <c r="AR88" s="78" t="s">
        <v>810</v>
      </c>
      <c r="AS88" s="261">
        <v>1181</v>
      </c>
      <c r="AT88" s="78" t="s">
        <v>810</v>
      </c>
      <c r="AU88" s="261">
        <v>1127</v>
      </c>
      <c r="AV88" s="17"/>
      <c r="AW88" s="17"/>
      <c r="AX88" s="18" t="s">
        <v>84</v>
      </c>
      <c r="AZ88" s="322"/>
      <c r="BA88" s="82"/>
      <c r="BB88" s="322"/>
    </row>
    <row r="89" spans="2:54" ht="6" customHeight="1">
      <c r="B89" s="34"/>
      <c r="C89" s="34"/>
      <c r="D89" s="56"/>
      <c r="E89" s="83"/>
      <c r="F89" s="85"/>
      <c r="G89" s="83"/>
      <c r="H89" s="85"/>
      <c r="I89" s="83"/>
      <c r="J89" s="85"/>
      <c r="K89" s="83"/>
      <c r="L89" s="85"/>
      <c r="M89" s="83"/>
      <c r="N89" s="85"/>
      <c r="O89" s="83"/>
      <c r="P89" s="85"/>
      <c r="Q89" s="83"/>
      <c r="R89" s="85"/>
      <c r="S89" s="83"/>
      <c r="T89" s="85"/>
      <c r="U89" s="83"/>
      <c r="V89" s="85"/>
      <c r="W89" s="83"/>
      <c r="X89" s="85"/>
      <c r="Y89" s="83"/>
      <c r="Z89" s="85"/>
      <c r="AA89" s="83"/>
      <c r="AB89" s="83"/>
      <c r="AC89" s="83"/>
      <c r="AD89" s="72"/>
      <c r="AE89" s="83"/>
      <c r="AF89" s="72"/>
      <c r="AG89" s="83"/>
      <c r="AH89" s="72"/>
      <c r="AI89" s="83"/>
      <c r="AJ89" s="72"/>
      <c r="AK89" s="83"/>
      <c r="AL89" s="72"/>
      <c r="AM89" s="83"/>
      <c r="AN89" s="72"/>
      <c r="AO89" s="83"/>
      <c r="AP89" s="72"/>
      <c r="AQ89" s="83"/>
      <c r="AR89" s="72"/>
      <c r="AS89" s="41"/>
      <c r="AT89" s="41"/>
      <c r="AU89" s="41"/>
      <c r="AV89" s="41"/>
      <c r="AW89" s="41"/>
      <c r="AX89" s="56"/>
    </row>
    <row r="90" spans="2:54" ht="6" customHeight="1">
      <c r="B90" s="42"/>
      <c r="C90" s="42"/>
      <c r="D90" s="16"/>
      <c r="E90" s="28"/>
      <c r="F90" s="23"/>
      <c r="G90" s="28"/>
      <c r="H90" s="23"/>
      <c r="I90" s="28"/>
      <c r="J90" s="23"/>
      <c r="K90" s="28"/>
      <c r="L90" s="23"/>
      <c r="M90" s="28"/>
      <c r="N90" s="23"/>
      <c r="O90" s="28"/>
      <c r="P90" s="23"/>
      <c r="Q90" s="28"/>
      <c r="R90" s="23"/>
      <c r="S90" s="28"/>
      <c r="T90" s="23"/>
      <c r="U90" s="28"/>
      <c r="V90" s="23"/>
      <c r="W90" s="28"/>
      <c r="X90" s="23"/>
      <c r="Y90" s="28"/>
      <c r="Z90" s="23"/>
      <c r="AA90" s="28"/>
      <c r="AB90" s="28"/>
      <c r="AC90" s="28"/>
      <c r="AD90" s="27"/>
      <c r="AE90" s="28"/>
      <c r="AF90" s="27"/>
      <c r="AG90" s="28"/>
      <c r="AH90" s="27"/>
      <c r="AI90" s="28"/>
      <c r="AJ90" s="27"/>
      <c r="AK90" s="28"/>
      <c r="AL90" s="27"/>
      <c r="AM90" s="28"/>
      <c r="AN90" s="27"/>
      <c r="AO90" s="28"/>
      <c r="AP90" s="27"/>
      <c r="AQ90" s="28"/>
      <c r="AR90" s="27"/>
      <c r="AS90" s="17"/>
      <c r="AT90" s="17"/>
      <c r="AU90" s="17"/>
      <c r="AV90" s="17"/>
      <c r="AW90" s="17"/>
      <c r="AX90" s="16"/>
    </row>
    <row r="91" spans="2:54" ht="10.5" customHeight="1">
      <c r="B91" s="42"/>
      <c r="C91" s="42"/>
      <c r="D91" s="63" t="s">
        <v>272</v>
      </c>
      <c r="F91" s="23"/>
      <c r="H91" s="23"/>
      <c r="J91" s="23"/>
      <c r="L91" s="23"/>
      <c r="N91" s="23"/>
      <c r="P91" s="23"/>
      <c r="R91" s="23"/>
      <c r="T91" s="23"/>
      <c r="V91" s="23"/>
      <c r="X91" s="23"/>
      <c r="Y91" s="28"/>
      <c r="Z91" s="23"/>
      <c r="AA91" s="28"/>
      <c r="AB91" s="28"/>
      <c r="AC91" s="28"/>
      <c r="AD91" s="27"/>
      <c r="AE91" s="28"/>
      <c r="AF91" s="27"/>
      <c r="AG91" s="28"/>
      <c r="AH91" s="27"/>
      <c r="AI91" s="28"/>
      <c r="AJ91" s="27"/>
      <c r="AK91" s="28"/>
      <c r="AL91" s="27"/>
      <c r="AM91" s="28"/>
      <c r="AN91" s="27"/>
      <c r="AO91" s="28"/>
      <c r="AP91" s="27"/>
      <c r="AQ91" s="28"/>
      <c r="AR91" s="27"/>
      <c r="AS91" s="28"/>
      <c r="AT91" s="17"/>
      <c r="AU91" s="17"/>
      <c r="AV91" s="17"/>
      <c r="AW91" s="17"/>
      <c r="AX91" s="63" t="s">
        <v>273</v>
      </c>
    </row>
    <row r="92" spans="2:54" ht="10.5" customHeight="1">
      <c r="B92" s="42">
        <v>7</v>
      </c>
      <c r="C92" s="42"/>
      <c r="D92" s="16" t="s">
        <v>113</v>
      </c>
      <c r="E92" s="17" t="s">
        <v>78</v>
      </c>
      <c r="F92" s="23"/>
      <c r="G92" s="17" t="s">
        <v>78</v>
      </c>
      <c r="H92" s="23"/>
      <c r="I92" s="28">
        <v>1022.3</v>
      </c>
      <c r="J92" s="23"/>
      <c r="K92" s="28">
        <v>1129.3</v>
      </c>
      <c r="L92" s="23"/>
      <c r="M92" s="28">
        <v>1179</v>
      </c>
      <c r="N92" s="23"/>
      <c r="O92" s="28">
        <v>1231</v>
      </c>
      <c r="P92" s="23"/>
      <c r="Q92" s="28">
        <v>1287</v>
      </c>
      <c r="R92" s="23"/>
      <c r="S92" s="28">
        <v>1394</v>
      </c>
      <c r="T92" s="23"/>
      <c r="U92" s="28">
        <v>1467</v>
      </c>
      <c r="V92" s="23"/>
      <c r="W92" s="28">
        <v>1486</v>
      </c>
      <c r="X92" s="257"/>
      <c r="Y92" s="28">
        <v>625</v>
      </c>
      <c r="Z92" s="23"/>
      <c r="AA92" s="28">
        <v>621</v>
      </c>
      <c r="AB92" s="28"/>
      <c r="AC92" s="28">
        <v>615</v>
      </c>
      <c r="AD92" s="27"/>
      <c r="AE92" s="28">
        <v>601</v>
      </c>
      <c r="AF92" s="27"/>
      <c r="AG92" s="28">
        <f>AG80+AG86</f>
        <v>444</v>
      </c>
      <c r="AH92" s="78"/>
      <c r="AI92" s="28">
        <v>461</v>
      </c>
      <c r="AJ92" s="27"/>
      <c r="AK92" s="26" t="s">
        <v>78</v>
      </c>
      <c r="AL92" s="78"/>
      <c r="AM92" s="26" t="s">
        <v>78</v>
      </c>
      <c r="AN92" s="78"/>
      <c r="AO92" s="26" t="s">
        <v>78</v>
      </c>
      <c r="AP92" s="78"/>
      <c r="AQ92" s="26" t="s">
        <v>78</v>
      </c>
      <c r="AR92" s="27"/>
      <c r="AS92" s="26" t="s">
        <v>78</v>
      </c>
      <c r="AT92" s="17"/>
      <c r="AU92" s="26" t="s">
        <v>78</v>
      </c>
      <c r="AV92" s="17"/>
      <c r="AW92" s="17"/>
      <c r="AX92" s="16" t="s">
        <v>128</v>
      </c>
    </row>
    <row r="93" spans="2:54" ht="10.5" customHeight="1">
      <c r="B93" s="42">
        <v>8</v>
      </c>
      <c r="C93" s="42"/>
      <c r="D93" s="16" t="s">
        <v>114</v>
      </c>
      <c r="E93" s="17" t="s">
        <v>78</v>
      </c>
      <c r="F93" s="23"/>
      <c r="G93" s="17" t="s">
        <v>78</v>
      </c>
      <c r="H93" s="23"/>
      <c r="I93" s="28">
        <v>5498.7</v>
      </c>
      <c r="J93" s="23"/>
      <c r="K93" s="28">
        <v>5555.7</v>
      </c>
      <c r="L93" s="23"/>
      <c r="M93" s="28">
        <v>5448</v>
      </c>
      <c r="N93" s="23"/>
      <c r="O93" s="28">
        <v>5356</v>
      </c>
      <c r="P93" s="23"/>
      <c r="Q93" s="28">
        <v>5348</v>
      </c>
      <c r="R93" s="23"/>
      <c r="S93" s="28">
        <v>5393</v>
      </c>
      <c r="T93" s="23"/>
      <c r="U93" s="28">
        <v>5338</v>
      </c>
      <c r="V93" s="23"/>
      <c r="W93" s="28">
        <v>5221</v>
      </c>
      <c r="X93" s="257"/>
      <c r="Y93" s="28">
        <v>3531</v>
      </c>
      <c r="Z93" s="23"/>
      <c r="AA93" s="28">
        <v>3286</v>
      </c>
      <c r="AB93" s="28"/>
      <c r="AC93" s="28">
        <v>3195</v>
      </c>
      <c r="AD93" s="27"/>
      <c r="AE93" s="28">
        <v>3059</v>
      </c>
      <c r="AF93" s="27"/>
      <c r="AG93" s="28">
        <v>2562</v>
      </c>
      <c r="AH93" s="78"/>
      <c r="AI93" s="28">
        <v>2448</v>
      </c>
      <c r="AJ93" s="27"/>
      <c r="AK93" s="26" t="s">
        <v>78</v>
      </c>
      <c r="AL93" s="78"/>
      <c r="AM93" s="26" t="s">
        <v>78</v>
      </c>
      <c r="AN93" s="78"/>
      <c r="AO93" s="26" t="s">
        <v>78</v>
      </c>
      <c r="AP93" s="78"/>
      <c r="AQ93" s="26" t="s">
        <v>78</v>
      </c>
      <c r="AR93" s="27"/>
      <c r="AS93" s="26" t="s">
        <v>78</v>
      </c>
      <c r="AT93" s="17"/>
      <c r="AU93" s="26" t="s">
        <v>78</v>
      </c>
      <c r="AV93" s="17"/>
      <c r="AW93" s="17"/>
      <c r="AX93" s="16" t="s">
        <v>129</v>
      </c>
      <c r="BA93" s="82"/>
    </row>
    <row r="94" spans="2:54" ht="10.5" customHeight="1">
      <c r="B94" s="42">
        <v>9</v>
      </c>
      <c r="C94" s="42"/>
      <c r="D94" s="18" t="s">
        <v>68</v>
      </c>
      <c r="E94" s="65">
        <v>6768.5</v>
      </c>
      <c r="F94" s="67"/>
      <c r="G94" s="65">
        <v>6585</v>
      </c>
      <c r="H94" s="67"/>
      <c r="I94" s="65">
        <v>6521</v>
      </c>
      <c r="J94" s="67"/>
      <c r="K94" s="65">
        <v>6685</v>
      </c>
      <c r="L94" s="67"/>
      <c r="M94" s="65">
        <v>6627</v>
      </c>
      <c r="N94" s="67"/>
      <c r="O94" s="65">
        <v>6587</v>
      </c>
      <c r="P94" s="67"/>
      <c r="Q94" s="65">
        <v>6635</v>
      </c>
      <c r="R94" s="67"/>
      <c r="S94" s="65">
        <v>6787</v>
      </c>
      <c r="T94" s="67"/>
      <c r="U94" s="65">
        <v>6805</v>
      </c>
      <c r="V94" s="67"/>
      <c r="W94" s="65">
        <v>6707</v>
      </c>
      <c r="X94" s="258"/>
      <c r="Y94" s="65">
        <v>4156</v>
      </c>
      <c r="Z94" s="67"/>
      <c r="AA94" s="65">
        <v>3907</v>
      </c>
      <c r="AB94" s="65"/>
      <c r="AC94" s="65">
        <v>3810</v>
      </c>
      <c r="AD94" s="27"/>
      <c r="AE94" s="65">
        <v>3660</v>
      </c>
      <c r="AF94" s="27"/>
      <c r="AG94" s="65">
        <v>3006</v>
      </c>
      <c r="AH94" s="78"/>
      <c r="AI94" s="65">
        <v>2909</v>
      </c>
      <c r="AJ94" s="27"/>
      <c r="AK94" s="26" t="s">
        <v>78</v>
      </c>
      <c r="AL94" s="78"/>
      <c r="AM94" s="26" t="s">
        <v>78</v>
      </c>
      <c r="AN94" s="78"/>
      <c r="AO94" s="26" t="s">
        <v>78</v>
      </c>
      <c r="AP94" s="78"/>
      <c r="AQ94" s="26" t="s">
        <v>78</v>
      </c>
      <c r="AR94" s="27"/>
      <c r="AS94" s="26" t="s">
        <v>78</v>
      </c>
      <c r="AT94" s="17"/>
      <c r="AU94" s="26" t="s">
        <v>78</v>
      </c>
      <c r="AV94" s="17"/>
      <c r="AW94" s="17"/>
      <c r="AX94" s="18" t="s">
        <v>274</v>
      </c>
    </row>
    <row r="95" spans="2:54" ht="6" customHeight="1">
      <c r="B95" s="80"/>
      <c r="C95" s="80"/>
      <c r="D95" s="46"/>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46"/>
    </row>
    <row r="96" spans="2:54" ht="6" customHeight="1">
      <c r="B96" s="42"/>
      <c r="C96" s="42"/>
      <c r="D96" s="24"/>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24"/>
    </row>
    <row r="97" spans="2:53">
      <c r="B97" s="16"/>
    </row>
    <row r="100" spans="2:53">
      <c r="B100" s="260"/>
      <c r="BA100" s="82"/>
    </row>
    <row r="101" spans="2:53">
      <c r="O101" s="127"/>
    </row>
    <row r="102" spans="2:53">
      <c r="O102" s="16"/>
    </row>
    <row r="103" spans="2:53">
      <c r="O103" s="16"/>
    </row>
    <row r="104" spans="2:53">
      <c r="O104" s="16"/>
    </row>
    <row r="105" spans="2:53">
      <c r="O105" s="16"/>
    </row>
    <row r="106" spans="2:53">
      <c r="O106" s="129"/>
    </row>
    <row r="107" spans="2:53">
      <c r="O107" s="53"/>
    </row>
    <row r="108" spans="2:53">
      <c r="O108" s="53"/>
    </row>
    <row r="109" spans="2:53">
      <c r="O109" s="53"/>
    </row>
    <row r="110" spans="2:53">
      <c r="O110" s="53"/>
    </row>
  </sheetData>
  <mergeCells count="26">
    <mergeCell ref="B67:AX67"/>
    <mergeCell ref="B13:D13"/>
    <mergeCell ref="AE57:AF57"/>
    <mergeCell ref="W57:X57"/>
    <mergeCell ref="Y57:Z57"/>
    <mergeCell ref="AM57:AN57"/>
    <mergeCell ref="AA57:AD57"/>
    <mergeCell ref="AG57:AH57"/>
    <mergeCell ref="AK57:AL57"/>
    <mergeCell ref="AO57:AP57"/>
    <mergeCell ref="B76:D76"/>
    <mergeCell ref="B69:AX69"/>
    <mergeCell ref="C57:D57"/>
    <mergeCell ref="E57:F57"/>
    <mergeCell ref="G57:H57"/>
    <mergeCell ref="S57:T57"/>
    <mergeCell ref="B68:AX68"/>
    <mergeCell ref="AQ57:AR57"/>
    <mergeCell ref="U57:V57"/>
    <mergeCell ref="AI57:AJ57"/>
    <mergeCell ref="K57:L57"/>
    <mergeCell ref="M57:N57"/>
    <mergeCell ref="I57:J57"/>
    <mergeCell ref="AS57:AT57"/>
    <mergeCell ref="O57:P57"/>
    <mergeCell ref="Q57:R57"/>
  </mergeCells>
  <printOptions horizontalCentered="1"/>
  <pageMargins left="0" right="0" top="0" bottom="0" header="0" footer="0"/>
  <pageSetup paperSize="9" scale="80"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A78"/>
  <sheetViews>
    <sheetView workbookViewId="0"/>
  </sheetViews>
  <sheetFormatPr defaultColWidth="9.109375" defaultRowHeight="13.8" outlineLevelCol="1"/>
  <cols>
    <col min="1" max="1" width="1.33203125" style="11" customWidth="1"/>
    <col min="2" max="2" width="2.6640625" style="11" customWidth="1"/>
    <col min="3" max="3" width="0.88671875" style="11" customWidth="1"/>
    <col min="4" max="4" width="29.88671875" style="11" customWidth="1"/>
    <col min="5" max="5" width="5.6640625" style="11" hidden="1" customWidth="1" outlineLevel="1"/>
    <col min="6" max="6" width="1.33203125" style="11" hidden="1" customWidth="1" outlineLevel="1"/>
    <col min="7" max="7" width="5.6640625" style="11" hidden="1" customWidth="1" outlineLevel="1"/>
    <col min="8" max="8" width="1.33203125" style="11" hidden="1" customWidth="1" outlineLevel="1"/>
    <col min="9" max="9" width="5.6640625" style="11" hidden="1" customWidth="1" outlineLevel="1"/>
    <col min="10" max="10" width="1.33203125" style="11" hidden="1" customWidth="1" outlineLevel="1"/>
    <col min="11" max="11" width="5.6640625" style="11" hidden="1" customWidth="1" outlineLevel="1"/>
    <col min="12" max="12" width="1.33203125" style="11" hidden="1" customWidth="1" outlineLevel="1"/>
    <col min="13" max="13" width="5.6640625" style="11" hidden="1" customWidth="1" outlineLevel="1"/>
    <col min="14" max="14" width="1.33203125" style="11" hidden="1" customWidth="1" outlineLevel="1"/>
    <col min="15" max="15" width="5.6640625" style="11" hidden="1" customWidth="1" outlineLevel="1"/>
    <col min="16" max="16" width="1.33203125" style="11" hidden="1" customWidth="1" outlineLevel="1"/>
    <col min="17" max="17" width="5.6640625" style="11" hidden="1" customWidth="1" outlineLevel="1"/>
    <col min="18" max="18" width="1.33203125" style="11" hidden="1" customWidth="1" outlineLevel="1"/>
    <col min="19" max="19" width="5.33203125" style="11" hidden="1" customWidth="1" outlineLevel="1"/>
    <col min="20" max="20" width="1.33203125" style="11" hidden="1" customWidth="1" outlineLevel="1"/>
    <col min="21" max="21" width="5.33203125" style="11" hidden="1" customWidth="1" outlineLevel="1"/>
    <col min="22" max="22" width="1.33203125" style="11" hidden="1" customWidth="1" outlineLevel="1"/>
    <col min="23" max="23" width="5.33203125" style="11" hidden="1" customWidth="1" outlineLevel="1"/>
    <col min="24" max="24" width="1.33203125" style="11" hidden="1" customWidth="1" outlineLevel="1"/>
    <col min="25" max="25" width="5" style="11" hidden="1" customWidth="1" outlineLevel="1"/>
    <col min="26" max="26" width="1.88671875" style="11" hidden="1" customWidth="1" outlineLevel="1"/>
    <col min="27" max="27" width="5" style="11" hidden="1" customWidth="1" outlineLevel="1"/>
    <col min="28" max="28" width="1.88671875" style="11" hidden="1" customWidth="1" outlineLevel="1"/>
    <col min="29" max="29" width="5" style="11" hidden="1" customWidth="1" outlineLevel="1"/>
    <col min="30" max="30" width="1.88671875" style="11" hidden="1" customWidth="1" outlineLevel="1"/>
    <col min="31" max="31" width="5" style="11" hidden="1" customWidth="1" outlineLevel="1"/>
    <col min="32" max="32" width="1.88671875" style="11" hidden="1" customWidth="1" outlineLevel="1"/>
    <col min="33" max="33" width="5" style="11" hidden="1" customWidth="1" outlineLevel="1"/>
    <col min="34" max="34" width="1.88671875" style="11" hidden="1" customWidth="1" outlineLevel="1"/>
    <col min="35" max="35" width="5" style="11" hidden="1" customWidth="1" outlineLevel="1"/>
    <col min="36" max="36" width="1.88671875" style="11" hidden="1" customWidth="1" outlineLevel="1"/>
    <col min="37" max="37" width="5" style="11" customWidth="1" collapsed="1"/>
    <col min="38" max="38" width="1.88671875" style="11" customWidth="1"/>
    <col min="39" max="39" width="5" style="11" customWidth="1"/>
    <col min="40" max="40" width="1.88671875" style="11" customWidth="1"/>
    <col min="41" max="41" width="5" style="11" customWidth="1"/>
    <col min="42" max="42" width="1.88671875" style="11" customWidth="1"/>
    <col min="43" max="43" width="5" style="11" customWidth="1"/>
    <col min="44" max="44" width="1.88671875" style="11" customWidth="1"/>
    <col min="45" max="45" width="5" style="11" customWidth="1"/>
    <col min="46" max="46" width="1.88671875" style="11" customWidth="1"/>
    <col min="47" max="47" width="5" style="11" customWidth="1"/>
    <col min="48" max="48" width="1.88671875" style="11" customWidth="1"/>
    <col min="49" max="49" width="0.6640625" style="11" customWidth="1"/>
    <col min="50" max="50" width="38.5546875" style="11" bestFit="1" customWidth="1"/>
    <col min="51" max="16384" width="9.109375" style="11"/>
  </cols>
  <sheetData>
    <row r="1" spans="2:50" ht="14.25" customHeight="1">
      <c r="B1" s="10" t="s">
        <v>1432</v>
      </c>
      <c r="C1" s="10"/>
      <c r="D1" s="2"/>
      <c r="E1" s="2"/>
      <c r="F1" s="2"/>
      <c r="G1" s="2"/>
      <c r="H1" s="2"/>
      <c r="I1" s="2"/>
      <c r="J1" s="2"/>
      <c r="K1" s="2"/>
      <c r="L1" s="2"/>
      <c r="M1" s="2"/>
      <c r="N1" s="2"/>
      <c r="O1" s="2"/>
      <c r="P1" s="2"/>
      <c r="Q1" s="2"/>
      <c r="R1" s="2"/>
    </row>
    <row r="2" spans="2:50" ht="14.25" customHeight="1">
      <c r="B2" s="156" t="s">
        <v>1433</v>
      </c>
      <c r="D2" s="12"/>
      <c r="E2" s="10"/>
      <c r="F2" s="10"/>
      <c r="G2" s="10"/>
      <c r="H2" s="10"/>
      <c r="I2" s="10"/>
      <c r="J2" s="10"/>
      <c r="K2" s="10"/>
      <c r="L2" s="10"/>
      <c r="M2" s="10"/>
      <c r="N2" s="10"/>
      <c r="O2" s="10"/>
      <c r="P2" s="10"/>
      <c r="Q2" s="10"/>
      <c r="R2" s="10"/>
    </row>
    <row r="3" spans="2:50" ht="6" customHeight="1">
      <c r="B3" s="13"/>
      <c r="C3" s="13"/>
      <c r="D3" s="62"/>
      <c r="E3" s="62"/>
      <c r="F3" s="62"/>
      <c r="G3" s="62"/>
      <c r="H3" s="62"/>
      <c r="I3" s="62"/>
      <c r="J3" s="62"/>
      <c r="K3" s="62"/>
      <c r="L3" s="62"/>
      <c r="M3" s="62"/>
      <c r="N3" s="62"/>
      <c r="O3" s="62"/>
      <c r="P3" s="62"/>
      <c r="Q3" s="62"/>
      <c r="R3" s="62"/>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row>
    <row r="4" spans="2:50" ht="6" customHeight="1">
      <c r="D4" s="10"/>
      <c r="E4" s="10"/>
      <c r="F4" s="10"/>
      <c r="G4" s="10"/>
      <c r="H4" s="10"/>
      <c r="I4" s="10"/>
      <c r="J4" s="10"/>
      <c r="K4" s="10"/>
      <c r="L4" s="10"/>
      <c r="M4" s="10"/>
      <c r="N4" s="10"/>
      <c r="O4" s="10"/>
      <c r="P4" s="10"/>
      <c r="Q4" s="10"/>
      <c r="R4" s="10"/>
    </row>
    <row r="5" spans="2:50">
      <c r="D5" s="2" t="s">
        <v>275</v>
      </c>
      <c r="E5" s="2"/>
      <c r="F5" s="2"/>
      <c r="G5" s="2"/>
      <c r="H5" s="2"/>
      <c r="I5" s="2"/>
      <c r="J5" s="2"/>
      <c r="K5" s="2"/>
      <c r="L5" s="2"/>
      <c r="M5" s="2"/>
      <c r="N5" s="2"/>
      <c r="O5" s="2"/>
      <c r="P5" s="2"/>
      <c r="Q5" s="2"/>
      <c r="R5" s="2"/>
      <c r="AX5" s="156" t="s">
        <v>276</v>
      </c>
    </row>
    <row r="6" spans="2:50">
      <c r="D6" s="2" t="s">
        <v>277</v>
      </c>
      <c r="E6" s="2"/>
      <c r="F6" s="2"/>
      <c r="G6" s="2"/>
      <c r="H6" s="2"/>
      <c r="I6" s="2"/>
      <c r="J6" s="2"/>
      <c r="K6" s="2"/>
      <c r="L6" s="2"/>
      <c r="M6" s="2"/>
      <c r="N6" s="2"/>
      <c r="O6" s="2"/>
      <c r="P6" s="2"/>
      <c r="Q6" s="2"/>
      <c r="R6" s="2"/>
      <c r="X6" s="2"/>
      <c r="Y6" s="2"/>
      <c r="AX6" s="187" t="s">
        <v>278</v>
      </c>
    </row>
    <row r="7" spans="2:50">
      <c r="D7" s="2" t="s">
        <v>279</v>
      </c>
      <c r="E7" s="2"/>
      <c r="F7" s="2"/>
      <c r="G7" s="2"/>
      <c r="H7" s="2"/>
      <c r="I7" s="2"/>
      <c r="J7" s="2"/>
      <c r="K7" s="2"/>
      <c r="L7" s="2"/>
      <c r="M7" s="2"/>
      <c r="N7" s="2"/>
      <c r="O7" s="2"/>
      <c r="P7" s="2"/>
      <c r="Q7" s="2"/>
      <c r="R7" s="2"/>
      <c r="AX7" s="156" t="s">
        <v>280</v>
      </c>
    </row>
    <row r="8" spans="2:50">
      <c r="D8" s="2" t="s">
        <v>281</v>
      </c>
      <c r="E8" s="2"/>
      <c r="F8" s="2"/>
      <c r="G8" s="2"/>
      <c r="H8" s="2"/>
      <c r="I8" s="2"/>
      <c r="J8" s="2"/>
      <c r="K8" s="2"/>
      <c r="L8" s="2"/>
      <c r="M8" s="2"/>
      <c r="N8" s="2"/>
      <c r="O8" s="2"/>
      <c r="P8" s="2"/>
      <c r="Q8" s="2"/>
      <c r="R8" s="2"/>
      <c r="AX8" s="156" t="s">
        <v>282</v>
      </c>
    </row>
    <row r="9" spans="2:50">
      <c r="D9" s="2" t="s">
        <v>283</v>
      </c>
      <c r="E9" s="2"/>
      <c r="F9" s="2"/>
      <c r="G9" s="2"/>
      <c r="H9" s="2"/>
      <c r="I9" s="2"/>
      <c r="J9" s="2"/>
      <c r="K9" s="2"/>
      <c r="L9" s="2"/>
      <c r="M9" s="2"/>
      <c r="N9" s="2"/>
      <c r="O9" s="2"/>
      <c r="P9" s="2"/>
      <c r="Q9" s="2"/>
      <c r="R9" s="2"/>
      <c r="AX9" s="156" t="s">
        <v>284</v>
      </c>
    </row>
    <row r="10" spans="2:50">
      <c r="C10" s="10"/>
      <c r="D10" s="2" t="s">
        <v>285</v>
      </c>
      <c r="E10" s="2"/>
      <c r="F10" s="2"/>
      <c r="G10" s="2"/>
      <c r="H10" s="2"/>
      <c r="I10" s="2"/>
      <c r="J10" s="2"/>
      <c r="K10" s="2"/>
      <c r="L10" s="2"/>
      <c r="M10" s="2"/>
      <c r="N10" s="2"/>
      <c r="O10" s="2"/>
      <c r="P10" s="2"/>
      <c r="Q10" s="2"/>
      <c r="R10" s="2"/>
      <c r="AX10" s="156" t="s">
        <v>286</v>
      </c>
    </row>
    <row r="11" spans="2:50">
      <c r="B11" s="2"/>
      <c r="C11" s="2"/>
      <c r="D11" s="2" t="s">
        <v>287</v>
      </c>
      <c r="E11" s="2"/>
      <c r="F11" s="2"/>
      <c r="G11" s="2"/>
      <c r="H11" s="2"/>
      <c r="I11" s="2"/>
      <c r="J11" s="2"/>
      <c r="K11" s="2"/>
      <c r="L11" s="2"/>
      <c r="M11" s="2"/>
      <c r="N11" s="2"/>
      <c r="O11" s="2"/>
      <c r="P11" s="2"/>
      <c r="Q11" s="2"/>
      <c r="R11" s="2"/>
      <c r="AX11" s="156" t="s">
        <v>288</v>
      </c>
    </row>
    <row r="12" spans="2:50">
      <c r="B12" s="2"/>
      <c r="C12" s="2"/>
      <c r="D12" s="2" t="s">
        <v>1177</v>
      </c>
      <c r="E12" s="2"/>
      <c r="F12" s="2"/>
      <c r="G12" s="2"/>
      <c r="H12" s="2"/>
      <c r="I12" s="2"/>
      <c r="J12" s="2"/>
      <c r="K12" s="2"/>
      <c r="L12" s="2"/>
      <c r="M12" s="2"/>
      <c r="N12" s="2"/>
      <c r="O12" s="2"/>
      <c r="P12" s="2"/>
      <c r="Q12" s="2"/>
      <c r="R12" s="2"/>
      <c r="AX12" s="156" t="s">
        <v>1178</v>
      </c>
    </row>
    <row r="13" spans="2:50" ht="6" customHeight="1">
      <c r="B13" s="4"/>
      <c r="C13" s="4"/>
      <c r="D13" s="4"/>
      <c r="E13" s="4"/>
      <c r="F13" s="4"/>
      <c r="G13" s="4"/>
      <c r="H13" s="4"/>
      <c r="I13" s="4"/>
      <c r="J13" s="4"/>
      <c r="K13" s="4"/>
      <c r="L13" s="4"/>
      <c r="M13" s="4"/>
      <c r="N13" s="4"/>
      <c r="O13" s="4"/>
      <c r="P13" s="4"/>
      <c r="Q13" s="4"/>
      <c r="R13" s="4"/>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row>
    <row r="14" spans="2:50" ht="6" customHeight="1">
      <c r="B14" s="2"/>
      <c r="C14" s="2"/>
      <c r="D14" s="2"/>
      <c r="E14" s="2"/>
      <c r="F14" s="2"/>
      <c r="G14" s="2"/>
      <c r="H14" s="2"/>
      <c r="I14" s="2"/>
      <c r="J14" s="2"/>
      <c r="K14" s="2"/>
      <c r="L14" s="2"/>
      <c r="M14" s="2"/>
      <c r="N14" s="2"/>
      <c r="O14" s="2"/>
      <c r="P14" s="2"/>
      <c r="Q14" s="2"/>
      <c r="R14" s="2"/>
    </row>
    <row r="15" spans="2:50" ht="14.25" customHeight="1">
      <c r="B15" s="523" t="s">
        <v>218</v>
      </c>
      <c r="C15" s="523"/>
      <c r="D15" s="523"/>
      <c r="E15" s="281">
        <v>2000</v>
      </c>
      <c r="F15" s="404"/>
      <c r="G15" s="281">
        <v>2001</v>
      </c>
      <c r="H15" s="404"/>
      <c r="I15" s="281">
        <v>2002</v>
      </c>
      <c r="J15" s="404"/>
      <c r="K15" s="281">
        <v>2003</v>
      </c>
      <c r="L15" s="404"/>
      <c r="M15" s="281">
        <v>2004</v>
      </c>
      <c r="N15" s="404"/>
      <c r="O15" s="281">
        <v>2005</v>
      </c>
      <c r="P15" s="404"/>
      <c r="Q15" s="281">
        <v>2006</v>
      </c>
      <c r="R15" s="404"/>
      <c r="S15" s="281">
        <v>2007</v>
      </c>
      <c r="T15" s="404"/>
      <c r="U15" s="281">
        <v>2008</v>
      </c>
      <c r="V15" s="404"/>
      <c r="W15" s="281">
        <v>2009</v>
      </c>
      <c r="X15" s="404"/>
      <c r="Y15" s="281">
        <v>2010</v>
      </c>
      <c r="Z15" s="404"/>
      <c r="AA15" s="281">
        <v>2011</v>
      </c>
      <c r="AB15" s="404"/>
      <c r="AC15" s="281">
        <v>2012</v>
      </c>
      <c r="AD15" s="404"/>
      <c r="AE15" s="281">
        <v>2013</v>
      </c>
      <c r="AF15" s="404"/>
      <c r="AG15" s="281">
        <v>2014</v>
      </c>
      <c r="AH15" s="404"/>
      <c r="AI15" s="281">
        <v>2015</v>
      </c>
      <c r="AJ15" s="404"/>
      <c r="AK15" s="281">
        <v>2016</v>
      </c>
      <c r="AL15" s="404"/>
      <c r="AM15" s="281">
        <v>2017</v>
      </c>
      <c r="AN15" s="404"/>
      <c r="AO15" s="281">
        <v>2018</v>
      </c>
      <c r="AP15" s="404"/>
      <c r="AQ15" s="281">
        <v>2019</v>
      </c>
      <c r="AR15" s="404"/>
      <c r="AS15" s="281">
        <v>2020</v>
      </c>
      <c r="AT15" s="404"/>
      <c r="AU15" s="281">
        <v>2021</v>
      </c>
      <c r="AV15" s="404"/>
      <c r="AW15" s="63"/>
      <c r="AX15" s="283" t="s">
        <v>219</v>
      </c>
    </row>
    <row r="16" spans="2:50" ht="6" customHeight="1">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row>
    <row r="17" spans="2:53" ht="6" customHeight="1">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row>
    <row r="18" spans="2:53" ht="10.5" customHeight="1">
      <c r="B18" s="42"/>
      <c r="C18" s="42"/>
      <c r="D18" s="63" t="s">
        <v>220</v>
      </c>
      <c r="E18" s="64"/>
      <c r="F18" s="27"/>
      <c r="G18" s="64"/>
      <c r="H18" s="27"/>
      <c r="I18" s="64"/>
      <c r="J18" s="27"/>
      <c r="K18" s="64"/>
      <c r="L18" s="27"/>
      <c r="M18" s="64"/>
      <c r="N18" s="27"/>
      <c r="O18" s="64"/>
      <c r="P18" s="27"/>
      <c r="Q18" s="64"/>
      <c r="R18" s="27"/>
      <c r="S18" s="64"/>
      <c r="T18" s="27"/>
      <c r="U18" s="64"/>
      <c r="V18" s="27"/>
      <c r="W18" s="64"/>
      <c r="X18" s="27"/>
      <c r="Y18" s="64"/>
      <c r="Z18" s="27"/>
      <c r="AA18" s="64"/>
      <c r="AB18" s="27"/>
      <c r="AC18" s="27"/>
      <c r="AD18" s="27"/>
      <c r="AE18" s="64"/>
      <c r="AF18" s="27"/>
      <c r="AG18" s="64"/>
      <c r="AH18" s="27"/>
      <c r="AI18" s="64"/>
      <c r="AJ18" s="27"/>
      <c r="AK18" s="64"/>
      <c r="AL18" s="27"/>
      <c r="AM18" s="64"/>
      <c r="AN18" s="27"/>
      <c r="AO18" s="64"/>
      <c r="AP18" s="27"/>
      <c r="AQ18" s="64"/>
      <c r="AR18" s="27"/>
      <c r="AS18" s="17"/>
      <c r="AT18" s="17"/>
      <c r="AU18" s="17"/>
      <c r="AV18" s="17"/>
      <c r="AW18" s="17"/>
      <c r="AX18" s="63" t="s">
        <v>221</v>
      </c>
    </row>
    <row r="19" spans="2:53" ht="10.5" customHeight="1">
      <c r="B19" s="42">
        <v>1</v>
      </c>
      <c r="C19" s="42"/>
      <c r="D19" s="18" t="s">
        <v>222</v>
      </c>
      <c r="E19" s="22">
        <v>246.6</v>
      </c>
      <c r="F19" s="20"/>
      <c r="G19" s="22">
        <v>246.6</v>
      </c>
      <c r="H19" s="20"/>
      <c r="I19" s="22">
        <v>251.2</v>
      </c>
      <c r="J19" s="20"/>
      <c r="K19" s="22">
        <v>251.2</v>
      </c>
      <c r="L19" s="20"/>
      <c r="M19" s="22">
        <v>251.2</v>
      </c>
      <c r="N19" s="20"/>
      <c r="O19" s="22">
        <v>251.2</v>
      </c>
      <c r="P19" s="20"/>
      <c r="Q19" s="22">
        <v>251.2</v>
      </c>
      <c r="R19" s="20"/>
      <c r="S19" s="22">
        <v>251.2</v>
      </c>
      <c r="T19" s="20"/>
      <c r="U19" s="22">
        <v>251.7</v>
      </c>
      <c r="V19" s="20"/>
      <c r="W19" s="19">
        <v>251.5</v>
      </c>
      <c r="X19" s="20"/>
      <c r="Y19" s="19">
        <v>256.25</v>
      </c>
      <c r="Z19" s="20"/>
      <c r="AA19" s="19">
        <v>259.25</v>
      </c>
      <c r="AB19" s="27"/>
      <c r="AC19" s="19">
        <v>259.25</v>
      </c>
      <c r="AD19" s="27"/>
      <c r="AE19" s="19">
        <v>247.75</v>
      </c>
      <c r="AF19" s="67"/>
      <c r="AG19" s="19">
        <v>260.95</v>
      </c>
      <c r="AH19" s="67"/>
      <c r="AI19" s="19">
        <v>279.26799999999997</v>
      </c>
      <c r="AJ19" s="67"/>
      <c r="AK19" s="19">
        <v>280.3</v>
      </c>
      <c r="AL19" s="67"/>
      <c r="AM19" s="19">
        <v>281.40000000000003</v>
      </c>
      <c r="AN19" s="67"/>
      <c r="AO19" s="19">
        <v>282.10000000000002</v>
      </c>
      <c r="AP19" s="67"/>
      <c r="AQ19" s="19">
        <v>282.10000000000002</v>
      </c>
      <c r="AR19" s="67"/>
      <c r="AS19" s="19">
        <v>293.60000000000002</v>
      </c>
      <c r="AT19" s="17"/>
      <c r="AU19" s="19">
        <v>295</v>
      </c>
      <c r="AV19" s="17"/>
      <c r="AW19" s="17"/>
      <c r="AX19" s="18" t="s">
        <v>223</v>
      </c>
      <c r="AZ19" s="393"/>
    </row>
    <row r="20" spans="2:53" ht="6" customHeight="1">
      <c r="B20" s="34"/>
      <c r="C20" s="34"/>
      <c r="D20" s="70"/>
      <c r="E20" s="41"/>
      <c r="F20" s="72"/>
      <c r="G20" s="41"/>
      <c r="H20" s="72"/>
      <c r="I20" s="41"/>
      <c r="J20" s="72"/>
      <c r="K20" s="41"/>
      <c r="L20" s="72"/>
      <c r="M20" s="41"/>
      <c r="N20" s="72"/>
      <c r="O20" s="41"/>
      <c r="P20" s="72"/>
      <c r="Q20" s="41"/>
      <c r="R20" s="72"/>
      <c r="S20" s="41"/>
      <c r="T20" s="72"/>
      <c r="U20" s="41"/>
      <c r="V20" s="72"/>
      <c r="W20" s="41"/>
      <c r="X20" s="72"/>
      <c r="Y20" s="70"/>
      <c r="Z20" s="72"/>
      <c r="AA20" s="70"/>
      <c r="AB20" s="72"/>
      <c r="AC20" s="70"/>
      <c r="AD20" s="72"/>
      <c r="AE20" s="70"/>
      <c r="AF20" s="72"/>
      <c r="AG20" s="70"/>
      <c r="AH20" s="72"/>
      <c r="AI20" s="70"/>
      <c r="AJ20" s="72"/>
      <c r="AK20" s="70"/>
      <c r="AL20" s="72"/>
      <c r="AM20" s="70"/>
      <c r="AN20" s="72"/>
      <c r="AO20" s="70"/>
      <c r="AP20" s="72"/>
      <c r="AQ20" s="70"/>
      <c r="AR20" s="72"/>
      <c r="AS20" s="70"/>
      <c r="AT20" s="41"/>
      <c r="AU20" s="70"/>
      <c r="AV20" s="41"/>
      <c r="AW20" s="41"/>
      <c r="AX20" s="70"/>
      <c r="AZ20" s="288"/>
    </row>
    <row r="21" spans="2:53" ht="6" customHeight="1">
      <c r="B21" s="42"/>
      <c r="C21" s="42"/>
      <c r="D21" s="53"/>
      <c r="E21" s="17"/>
      <c r="F21" s="27"/>
      <c r="G21" s="17"/>
      <c r="H21" s="27"/>
      <c r="I21" s="17"/>
      <c r="J21" s="27"/>
      <c r="K21" s="17"/>
      <c r="L21" s="27"/>
      <c r="M21" s="17"/>
      <c r="N21" s="27"/>
      <c r="O21" s="17"/>
      <c r="P21" s="27"/>
      <c r="Q21" s="17"/>
      <c r="R21" s="27"/>
      <c r="S21" s="17"/>
      <c r="T21" s="27"/>
      <c r="U21" s="17"/>
      <c r="V21" s="27"/>
      <c r="W21" s="16"/>
      <c r="X21" s="27"/>
      <c r="Y21" s="16"/>
      <c r="Z21" s="27"/>
      <c r="AA21" s="16"/>
      <c r="AB21" s="27"/>
      <c r="AC21" s="16"/>
      <c r="AD21" s="27"/>
      <c r="AE21" s="16"/>
      <c r="AF21" s="27"/>
      <c r="AG21" s="16"/>
      <c r="AH21" s="27"/>
      <c r="AI21" s="16"/>
      <c r="AJ21" s="27"/>
      <c r="AK21" s="16"/>
      <c r="AL21" s="27"/>
      <c r="AM21" s="16"/>
      <c r="AN21" s="27"/>
      <c r="AO21" s="16"/>
      <c r="AP21" s="27"/>
      <c r="AQ21" s="16"/>
      <c r="AR21" s="27"/>
      <c r="AS21" s="16"/>
      <c r="AT21" s="17"/>
      <c r="AU21" s="16"/>
      <c r="AV21" s="17"/>
      <c r="AW21" s="17"/>
      <c r="AX21" s="53"/>
      <c r="AZ21" s="288"/>
    </row>
    <row r="22" spans="2:53" ht="10.5" customHeight="1">
      <c r="B22" s="42"/>
      <c r="C22" s="42"/>
      <c r="D22" s="63" t="s">
        <v>224</v>
      </c>
      <c r="E22" s="17"/>
      <c r="F22" s="27"/>
      <c r="G22" s="17"/>
      <c r="H22" s="27"/>
      <c r="I22" s="17"/>
      <c r="J22" s="27"/>
      <c r="K22" s="17"/>
      <c r="L22" s="27"/>
      <c r="M22" s="17"/>
      <c r="N22" s="27"/>
      <c r="O22" s="17"/>
      <c r="P22" s="27"/>
      <c r="Q22" s="17"/>
      <c r="R22" s="27"/>
      <c r="S22" s="17"/>
      <c r="T22" s="27"/>
      <c r="U22" s="17"/>
      <c r="V22" s="27"/>
      <c r="W22" s="16"/>
      <c r="X22" s="27"/>
      <c r="Y22" s="16"/>
      <c r="Z22" s="27"/>
      <c r="AA22" s="16"/>
      <c r="AB22" s="27"/>
      <c r="AC22" s="16"/>
      <c r="AD22" s="27"/>
      <c r="AE22" s="16"/>
      <c r="AF22" s="27"/>
      <c r="AG22" s="16"/>
      <c r="AH22" s="27"/>
      <c r="AI22" s="16"/>
      <c r="AJ22" s="27"/>
      <c r="AK22" s="16"/>
      <c r="AL22" s="27"/>
      <c r="AM22" s="16"/>
      <c r="AN22" s="27"/>
      <c r="AO22" s="16"/>
      <c r="AP22" s="27"/>
      <c r="AQ22" s="16"/>
      <c r="AR22" s="27"/>
      <c r="AS22" s="16"/>
      <c r="AT22" s="17"/>
      <c r="AU22" s="16"/>
      <c r="AV22" s="17"/>
      <c r="AW22" s="17"/>
      <c r="AX22" s="63" t="s">
        <v>225</v>
      </c>
      <c r="AZ22" s="288"/>
    </row>
    <row r="23" spans="2:53" ht="10.5" customHeight="1">
      <c r="B23" s="42">
        <v>2</v>
      </c>
      <c r="C23" s="42"/>
      <c r="D23" s="16" t="s">
        <v>226</v>
      </c>
      <c r="E23" s="26">
        <v>6</v>
      </c>
      <c r="F23" s="21"/>
      <c r="G23" s="26">
        <v>6.1</v>
      </c>
      <c r="H23" s="21"/>
      <c r="I23" s="26">
        <v>6.1</v>
      </c>
      <c r="J23" s="21"/>
      <c r="K23" s="26">
        <v>6.1</v>
      </c>
      <c r="L23" s="21"/>
      <c r="M23" s="26">
        <v>6.1</v>
      </c>
      <c r="N23" s="21"/>
      <c r="O23" s="26">
        <v>6.1</v>
      </c>
      <c r="P23" s="21"/>
      <c r="Q23" s="26">
        <v>6.1</v>
      </c>
      <c r="R23" s="21"/>
      <c r="S23" s="26">
        <v>6.1</v>
      </c>
      <c r="T23" s="21"/>
      <c r="U23" s="26">
        <v>6.5</v>
      </c>
      <c r="V23" s="21"/>
      <c r="W23" s="25">
        <v>6.7</v>
      </c>
      <c r="X23" s="21"/>
      <c r="Y23" s="25">
        <v>6.7</v>
      </c>
      <c r="Z23" s="21"/>
      <c r="AA23" s="25">
        <v>6.7</v>
      </c>
      <c r="AB23" s="27"/>
      <c r="AC23" s="25">
        <v>6.7</v>
      </c>
      <c r="AD23" s="27"/>
      <c r="AE23" s="25">
        <v>0</v>
      </c>
      <c r="AF23" s="23"/>
      <c r="AG23" s="25">
        <v>0</v>
      </c>
      <c r="AH23" s="23"/>
      <c r="AI23" s="25">
        <v>6.7</v>
      </c>
      <c r="AJ23" s="23"/>
      <c r="AK23" s="25">
        <v>6.7</v>
      </c>
      <c r="AL23" s="23"/>
      <c r="AM23" s="25">
        <v>6.7</v>
      </c>
      <c r="AN23" s="23"/>
      <c r="AO23" s="25">
        <v>6.7</v>
      </c>
      <c r="AP23" s="23"/>
      <c r="AQ23" s="25">
        <v>6.7</v>
      </c>
      <c r="AR23" s="23"/>
      <c r="AS23" s="25">
        <v>7.2</v>
      </c>
      <c r="AT23" s="17"/>
      <c r="AU23" s="25">
        <v>7.2</v>
      </c>
      <c r="AV23" s="17"/>
      <c r="AW23" s="17"/>
      <c r="AX23" s="16" t="s">
        <v>227</v>
      </c>
      <c r="AZ23" s="288"/>
    </row>
    <row r="24" spans="2:53" ht="10.5" customHeight="1">
      <c r="B24" s="42">
        <v>3</v>
      </c>
      <c r="C24" s="42"/>
      <c r="D24" s="16" t="s">
        <v>230</v>
      </c>
      <c r="E24" s="26">
        <v>117.5</v>
      </c>
      <c r="F24" s="21"/>
      <c r="G24" s="26">
        <v>117.7</v>
      </c>
      <c r="H24" s="21"/>
      <c r="I24" s="26">
        <v>120</v>
      </c>
      <c r="J24" s="21"/>
      <c r="K24" s="26">
        <v>120</v>
      </c>
      <c r="L24" s="21"/>
      <c r="M24" s="26">
        <v>120</v>
      </c>
      <c r="N24" s="21"/>
      <c r="O24" s="26">
        <v>120</v>
      </c>
      <c r="P24" s="21"/>
      <c r="Q24" s="26">
        <v>120</v>
      </c>
      <c r="R24" s="21"/>
      <c r="S24" s="26">
        <v>120</v>
      </c>
      <c r="T24" s="21"/>
      <c r="U24" s="26">
        <v>120</v>
      </c>
      <c r="V24" s="21"/>
      <c r="W24" s="25">
        <v>119.8</v>
      </c>
      <c r="X24" s="21"/>
      <c r="Y24" s="25">
        <v>122.2</v>
      </c>
      <c r="Z24" s="21"/>
      <c r="AA24" s="25">
        <v>123.7</v>
      </c>
      <c r="AB24" s="27"/>
      <c r="AC24" s="25">
        <v>123.7</v>
      </c>
      <c r="AD24" s="27"/>
      <c r="AE24" s="25">
        <v>121.7</v>
      </c>
      <c r="AF24" s="23"/>
      <c r="AG24" s="25">
        <v>128.1</v>
      </c>
      <c r="AH24" s="23"/>
      <c r="AI24" s="25">
        <v>133.709</v>
      </c>
      <c r="AJ24" s="23"/>
      <c r="AK24" s="25">
        <v>133.70000000000002</v>
      </c>
      <c r="AL24" s="23"/>
      <c r="AM24" s="25">
        <v>133.70000000000002</v>
      </c>
      <c r="AN24" s="23"/>
      <c r="AO24" s="25">
        <v>133.70000000000002</v>
      </c>
      <c r="AP24" s="23"/>
      <c r="AQ24" s="25">
        <v>133.70000000000002</v>
      </c>
      <c r="AR24" s="23"/>
      <c r="AS24" s="25">
        <v>138.70000000000002</v>
      </c>
      <c r="AT24" s="17"/>
      <c r="AU24" s="25">
        <v>139.10000000000002</v>
      </c>
      <c r="AV24" s="17"/>
      <c r="AW24" s="17"/>
      <c r="AX24" s="16" t="s">
        <v>90</v>
      </c>
      <c r="AZ24" s="288"/>
    </row>
    <row r="25" spans="2:53" ht="10.5" customHeight="1">
      <c r="B25" s="42">
        <v>4</v>
      </c>
      <c r="C25" s="42"/>
      <c r="D25" s="18" t="s">
        <v>231</v>
      </c>
      <c r="E25" s="22">
        <v>123.5</v>
      </c>
      <c r="F25" s="20"/>
      <c r="G25" s="22">
        <v>123.8</v>
      </c>
      <c r="H25" s="20"/>
      <c r="I25" s="22">
        <v>126.1</v>
      </c>
      <c r="J25" s="20"/>
      <c r="K25" s="22">
        <v>126.1</v>
      </c>
      <c r="L25" s="20"/>
      <c r="M25" s="22">
        <v>126.1</v>
      </c>
      <c r="N25" s="20"/>
      <c r="O25" s="22">
        <v>126.1</v>
      </c>
      <c r="P25" s="20"/>
      <c r="Q25" s="22">
        <v>126.1</v>
      </c>
      <c r="R25" s="20"/>
      <c r="S25" s="22">
        <v>126.1</v>
      </c>
      <c r="T25" s="20"/>
      <c r="U25" s="22">
        <v>126.5</v>
      </c>
      <c r="V25" s="20"/>
      <c r="W25" s="19">
        <v>126.5</v>
      </c>
      <c r="X25" s="20"/>
      <c r="Y25" s="19">
        <v>128.9</v>
      </c>
      <c r="Z25" s="20"/>
      <c r="AA25" s="19">
        <v>130.4</v>
      </c>
      <c r="AB25" s="27"/>
      <c r="AC25" s="19">
        <v>130.4</v>
      </c>
      <c r="AD25" s="27"/>
      <c r="AE25" s="19">
        <v>121.7</v>
      </c>
      <c r="AF25" s="67"/>
      <c r="AG25" s="19">
        <v>128.1</v>
      </c>
      <c r="AH25" s="67"/>
      <c r="AI25" s="19">
        <v>140.40900000000002</v>
      </c>
      <c r="AJ25" s="67"/>
      <c r="AK25" s="19">
        <v>140.4</v>
      </c>
      <c r="AL25" s="67"/>
      <c r="AM25" s="19">
        <v>140.4</v>
      </c>
      <c r="AN25" s="67"/>
      <c r="AO25" s="19">
        <v>140.4</v>
      </c>
      <c r="AP25" s="23"/>
      <c r="AQ25" s="19">
        <v>140.4</v>
      </c>
      <c r="AR25" s="67"/>
      <c r="AS25" s="19">
        <v>145.9</v>
      </c>
      <c r="AT25" s="17"/>
      <c r="AU25" s="19">
        <v>146.30000000000001</v>
      </c>
      <c r="AV25" s="17"/>
      <c r="AW25" s="17"/>
      <c r="AX25" s="18" t="s">
        <v>84</v>
      </c>
      <c r="AZ25" s="288"/>
    </row>
    <row r="26" spans="2:53" ht="6" customHeight="1">
      <c r="B26" s="34"/>
      <c r="C26" s="34"/>
      <c r="D26" s="70"/>
      <c r="E26" s="41"/>
      <c r="F26" s="72"/>
      <c r="G26" s="41"/>
      <c r="H26" s="72"/>
      <c r="I26" s="41"/>
      <c r="J26" s="72"/>
      <c r="K26" s="41"/>
      <c r="L26" s="72"/>
      <c r="M26" s="41"/>
      <c r="N26" s="72"/>
      <c r="O26" s="41"/>
      <c r="P26" s="72"/>
      <c r="Q26" s="41"/>
      <c r="R26" s="72"/>
      <c r="S26" s="41"/>
      <c r="T26" s="72"/>
      <c r="U26" s="41"/>
      <c r="V26" s="72"/>
      <c r="W26" s="41"/>
      <c r="X26" s="72"/>
      <c r="Y26" s="70"/>
      <c r="Z26" s="72"/>
      <c r="AA26" s="70"/>
      <c r="AB26" s="72"/>
      <c r="AC26" s="70"/>
      <c r="AD26" s="72"/>
      <c r="AE26" s="70"/>
      <c r="AF26" s="72"/>
      <c r="AG26" s="70"/>
      <c r="AH26" s="72"/>
      <c r="AI26" s="70"/>
      <c r="AJ26" s="72"/>
      <c r="AK26" s="70"/>
      <c r="AL26" s="72"/>
      <c r="AM26" s="70"/>
      <c r="AN26" s="72"/>
      <c r="AO26" s="70"/>
      <c r="AP26" s="72"/>
      <c r="AQ26" s="70"/>
      <c r="AR26" s="72"/>
      <c r="AS26" s="70"/>
      <c r="AT26" s="41"/>
      <c r="AU26" s="70"/>
      <c r="AV26" s="41"/>
      <c r="AW26" s="41"/>
      <c r="AX26" s="70"/>
      <c r="AZ26" s="288"/>
    </row>
    <row r="27" spans="2:53" ht="6" customHeight="1">
      <c r="B27" s="42"/>
      <c r="C27" s="42"/>
      <c r="D27" s="16"/>
      <c r="E27" s="26"/>
      <c r="F27" s="21"/>
      <c r="G27" s="26"/>
      <c r="H27" s="21"/>
      <c r="I27" s="26"/>
      <c r="J27" s="21"/>
      <c r="K27" s="26"/>
      <c r="L27" s="21"/>
      <c r="M27" s="26"/>
      <c r="N27" s="21"/>
      <c r="O27" s="26"/>
      <c r="P27" s="21"/>
      <c r="Q27" s="26"/>
      <c r="R27" s="21"/>
      <c r="S27" s="26"/>
      <c r="T27" s="21"/>
      <c r="U27" s="26"/>
      <c r="V27" s="21"/>
      <c r="W27" s="25"/>
      <c r="X27" s="21"/>
      <c r="Y27" s="25"/>
      <c r="Z27" s="21"/>
      <c r="AA27" s="25"/>
      <c r="AB27" s="27"/>
      <c r="AC27" s="25"/>
      <c r="AD27" s="27"/>
      <c r="AE27" s="25"/>
      <c r="AF27" s="27"/>
      <c r="AG27" s="25"/>
      <c r="AH27" s="27"/>
      <c r="AI27" s="25"/>
      <c r="AJ27" s="27"/>
      <c r="AK27" s="25"/>
      <c r="AL27" s="27"/>
      <c r="AM27" s="25"/>
      <c r="AN27" s="27"/>
      <c r="AO27" s="25"/>
      <c r="AP27" s="27"/>
      <c r="AQ27" s="25"/>
      <c r="AR27" s="27"/>
      <c r="AS27" s="25"/>
      <c r="AT27" s="17"/>
      <c r="AU27" s="25"/>
      <c r="AV27" s="17"/>
      <c r="AW27" s="17"/>
      <c r="AX27" s="16"/>
      <c r="AZ27" s="288"/>
    </row>
    <row r="28" spans="2:53" ht="10.5" customHeight="1">
      <c r="B28" s="42"/>
      <c r="C28" s="42"/>
      <c r="D28" s="63" t="s">
        <v>238</v>
      </c>
      <c r="E28" s="26"/>
      <c r="F28" s="21"/>
      <c r="G28" s="26"/>
      <c r="H28" s="21"/>
      <c r="I28" s="26"/>
      <c r="J28" s="21"/>
      <c r="K28" s="26"/>
      <c r="L28" s="21"/>
      <c r="M28" s="26"/>
      <c r="N28" s="21"/>
      <c r="O28" s="26"/>
      <c r="P28" s="21"/>
      <c r="Q28" s="26"/>
      <c r="R28" s="21"/>
      <c r="S28" s="26"/>
      <c r="T28" s="21"/>
      <c r="U28" s="26"/>
      <c r="V28" s="21"/>
      <c r="W28" s="25"/>
      <c r="X28" s="21"/>
      <c r="Y28" s="25"/>
      <c r="Z28" s="21"/>
      <c r="AA28" s="25"/>
      <c r="AB28" s="27"/>
      <c r="AC28" s="25"/>
      <c r="AD28" s="27"/>
      <c r="AE28" s="25"/>
      <c r="AF28" s="27"/>
      <c r="AG28" s="25"/>
      <c r="AH28" s="27"/>
      <c r="AI28" s="25"/>
      <c r="AJ28" s="27"/>
      <c r="AK28" s="25"/>
      <c r="AL28" s="27"/>
      <c r="AM28" s="25"/>
      <c r="AN28" s="27"/>
      <c r="AO28" s="25"/>
      <c r="AP28" s="27"/>
      <c r="AQ28" s="25"/>
      <c r="AR28" s="27"/>
      <c r="AS28" s="25"/>
      <c r="AT28" s="17"/>
      <c r="AU28" s="25"/>
      <c r="AV28" s="17"/>
      <c r="AW28" s="17"/>
      <c r="AX28" s="283" t="s">
        <v>483</v>
      </c>
      <c r="AZ28" s="288"/>
    </row>
    <row r="29" spans="2:53" ht="10.5" customHeight="1">
      <c r="B29" s="42"/>
      <c r="C29" s="42"/>
      <c r="D29" s="63" t="s">
        <v>239</v>
      </c>
      <c r="E29" s="26"/>
      <c r="F29" s="21"/>
      <c r="G29" s="26"/>
      <c r="H29" s="21"/>
      <c r="I29" s="26"/>
      <c r="J29" s="21"/>
      <c r="K29" s="26"/>
      <c r="L29" s="21"/>
      <c r="M29" s="26"/>
      <c r="N29" s="21"/>
      <c r="O29" s="26"/>
      <c r="P29" s="21"/>
      <c r="Q29" s="26"/>
      <c r="R29" s="21"/>
      <c r="S29" s="26"/>
      <c r="T29" s="21"/>
      <c r="U29" s="26"/>
      <c r="V29" s="21"/>
      <c r="W29" s="25"/>
      <c r="X29" s="21"/>
      <c r="Y29" s="25"/>
      <c r="Z29" s="21"/>
      <c r="AA29" s="25"/>
      <c r="AB29" s="27"/>
      <c r="AC29" s="25"/>
      <c r="AD29" s="27"/>
      <c r="AE29" s="25"/>
      <c r="AF29" s="27"/>
      <c r="AG29" s="25"/>
      <c r="AH29" s="27"/>
      <c r="AI29" s="25"/>
      <c r="AJ29" s="27"/>
      <c r="AK29" s="25"/>
      <c r="AL29" s="27"/>
      <c r="AM29" s="25"/>
      <c r="AN29" s="27"/>
      <c r="AO29" s="25"/>
      <c r="AP29" s="27"/>
      <c r="AQ29" s="25"/>
      <c r="AR29" s="27"/>
      <c r="AS29" s="25"/>
      <c r="AT29" s="17"/>
      <c r="AU29" s="25"/>
      <c r="AV29" s="17"/>
      <c r="AW29" s="17"/>
      <c r="AX29" s="63"/>
      <c r="AZ29" s="288"/>
      <c r="BA29" s="288"/>
    </row>
    <row r="30" spans="2:53" ht="10.5" customHeight="1">
      <c r="B30" s="42">
        <v>5</v>
      </c>
      <c r="C30" s="42"/>
      <c r="D30" s="16" t="s">
        <v>240</v>
      </c>
      <c r="E30" s="26">
        <v>18.200000000000003</v>
      </c>
      <c r="F30" s="21"/>
      <c r="G30" s="26">
        <v>18.600000000000001</v>
      </c>
      <c r="H30" s="21"/>
      <c r="I30" s="26">
        <v>20.8</v>
      </c>
      <c r="J30" s="21"/>
      <c r="K30" s="26">
        <v>20.8</v>
      </c>
      <c r="L30" s="21"/>
      <c r="M30" s="26">
        <v>20.8</v>
      </c>
      <c r="N30" s="21"/>
      <c r="O30" s="26">
        <v>20.8</v>
      </c>
      <c r="P30" s="21"/>
      <c r="Q30" s="26">
        <v>20.8</v>
      </c>
      <c r="R30" s="21"/>
      <c r="S30" s="26">
        <v>20.8</v>
      </c>
      <c r="T30" s="21"/>
      <c r="U30" s="26">
        <v>21.2</v>
      </c>
      <c r="V30" s="21"/>
      <c r="W30" s="25">
        <v>21.2</v>
      </c>
      <c r="X30" s="21"/>
      <c r="Y30" s="25">
        <v>21.2</v>
      </c>
      <c r="Z30" s="21"/>
      <c r="AA30" s="25">
        <v>21.2</v>
      </c>
      <c r="AB30" s="27"/>
      <c r="AC30" s="25">
        <v>21.2</v>
      </c>
      <c r="AD30" s="27"/>
      <c r="AE30" s="25">
        <v>12.5</v>
      </c>
      <c r="AF30" s="23"/>
      <c r="AG30" s="25">
        <v>12.5</v>
      </c>
      <c r="AH30" s="23"/>
      <c r="AI30" s="25">
        <v>22.2</v>
      </c>
      <c r="AJ30" s="23"/>
      <c r="AK30" s="25">
        <v>22.2</v>
      </c>
      <c r="AL30" s="23"/>
      <c r="AM30" s="25">
        <v>22.2</v>
      </c>
      <c r="AN30" s="23"/>
      <c r="AO30" s="25">
        <v>22.2</v>
      </c>
      <c r="AP30" s="23"/>
      <c r="AQ30" s="25">
        <v>22.2</v>
      </c>
      <c r="AR30" s="23"/>
      <c r="AS30" s="25">
        <v>22.7</v>
      </c>
      <c r="AT30" s="17"/>
      <c r="AU30" s="25">
        <v>22.7</v>
      </c>
      <c r="AV30" s="17"/>
      <c r="AW30" s="17"/>
      <c r="AX30" s="16" t="s">
        <v>241</v>
      </c>
      <c r="AZ30" s="288"/>
      <c r="BA30" s="288"/>
    </row>
    <row r="31" spans="2:53" ht="10.5" customHeight="1">
      <c r="B31" s="42"/>
      <c r="C31" s="42"/>
      <c r="D31" s="16"/>
      <c r="E31" s="17"/>
      <c r="F31" s="27"/>
      <c r="G31" s="17"/>
      <c r="H31" s="27"/>
      <c r="I31" s="17"/>
      <c r="J31" s="27"/>
      <c r="K31" s="17"/>
      <c r="L31" s="27"/>
      <c r="M31" s="17"/>
      <c r="N31" s="27"/>
      <c r="O31" s="17"/>
      <c r="P31" s="27"/>
      <c r="Q31" s="17"/>
      <c r="R31" s="27"/>
      <c r="S31" s="17"/>
      <c r="T31" s="27"/>
      <c r="U31" s="17"/>
      <c r="V31" s="27"/>
      <c r="W31" s="16"/>
      <c r="X31" s="27"/>
      <c r="Y31" s="16"/>
      <c r="Z31" s="27"/>
      <c r="AA31" s="16"/>
      <c r="AB31" s="27"/>
      <c r="AC31" s="16"/>
      <c r="AD31" s="27"/>
      <c r="AE31" s="16"/>
      <c r="AF31" s="27"/>
      <c r="AG31" s="16"/>
      <c r="AH31" s="27"/>
      <c r="AI31" s="16"/>
      <c r="AJ31" s="27"/>
      <c r="AK31" s="16"/>
      <c r="AL31" s="27"/>
      <c r="AM31" s="16"/>
      <c r="AN31" s="27"/>
      <c r="AO31" s="16"/>
      <c r="AP31" s="27"/>
      <c r="AQ31" s="16"/>
      <c r="AR31" s="27"/>
      <c r="AS31" s="16"/>
      <c r="AT31" s="17"/>
      <c r="AU31" s="16"/>
      <c r="AV31" s="17"/>
      <c r="AW31" s="17"/>
      <c r="AX31" s="16" t="s">
        <v>242</v>
      </c>
      <c r="AZ31" s="288"/>
      <c r="BA31" s="288"/>
    </row>
    <row r="32" spans="2:53" ht="10.5" customHeight="1">
      <c r="B32" s="42">
        <v>6</v>
      </c>
      <c r="C32" s="42"/>
      <c r="D32" s="16" t="s">
        <v>243</v>
      </c>
      <c r="E32" s="26">
        <v>8.9</v>
      </c>
      <c r="F32" s="21"/>
      <c r="G32" s="26">
        <v>9.3000000000000007</v>
      </c>
      <c r="H32" s="21"/>
      <c r="I32" s="26">
        <v>9.3000000000000007</v>
      </c>
      <c r="J32" s="21"/>
      <c r="K32" s="26">
        <v>9.3000000000000007</v>
      </c>
      <c r="L32" s="21"/>
      <c r="M32" s="26">
        <v>9.3000000000000007</v>
      </c>
      <c r="N32" s="21"/>
      <c r="O32" s="26">
        <v>9.3000000000000007</v>
      </c>
      <c r="P32" s="21"/>
      <c r="Q32" s="26">
        <v>9.3000000000000007</v>
      </c>
      <c r="R32" s="21"/>
      <c r="S32" s="26">
        <v>20.8</v>
      </c>
      <c r="T32" s="21"/>
      <c r="U32" s="26">
        <v>21.2</v>
      </c>
      <c r="V32" s="21"/>
      <c r="W32" s="25">
        <v>21.2</v>
      </c>
      <c r="X32" s="21"/>
      <c r="Y32" s="25">
        <v>21.2</v>
      </c>
      <c r="Z32" s="21"/>
      <c r="AA32" s="25">
        <v>21.2</v>
      </c>
      <c r="AB32" s="27"/>
      <c r="AC32" s="25">
        <v>21.2</v>
      </c>
      <c r="AD32" s="27"/>
      <c r="AE32" s="25">
        <v>12.5</v>
      </c>
      <c r="AF32" s="23"/>
      <c r="AG32" s="25">
        <v>12.5</v>
      </c>
      <c r="AH32" s="23"/>
      <c r="AI32" s="25">
        <v>22.2</v>
      </c>
      <c r="AJ32" s="23"/>
      <c r="AK32" s="25">
        <v>22.2</v>
      </c>
      <c r="AL32" s="23"/>
      <c r="AM32" s="25">
        <v>22.2</v>
      </c>
      <c r="AN32" s="23"/>
      <c r="AO32" s="25">
        <v>22.2</v>
      </c>
      <c r="AP32" s="23"/>
      <c r="AQ32" s="25">
        <v>22.2</v>
      </c>
      <c r="AR32" s="23"/>
      <c r="AS32" s="25">
        <v>22.2</v>
      </c>
      <c r="AT32" s="17"/>
      <c r="AU32" s="25">
        <v>22.2</v>
      </c>
      <c r="AV32" s="17"/>
      <c r="AW32" s="17"/>
      <c r="AX32" s="16" t="s">
        <v>244</v>
      </c>
      <c r="AZ32" s="288"/>
      <c r="BA32" s="288"/>
    </row>
    <row r="33" spans="2:53" ht="6" customHeight="1">
      <c r="B33" s="34"/>
      <c r="C33" s="34"/>
      <c r="D33" s="70"/>
      <c r="E33" s="41"/>
      <c r="F33" s="72"/>
      <c r="G33" s="41"/>
      <c r="H33" s="72"/>
      <c r="I33" s="41"/>
      <c r="J33" s="72"/>
      <c r="K33" s="41"/>
      <c r="L33" s="72"/>
      <c r="M33" s="41"/>
      <c r="N33" s="72"/>
      <c r="O33" s="41"/>
      <c r="P33" s="72"/>
      <c r="Q33" s="41"/>
      <c r="R33" s="72"/>
      <c r="S33" s="41"/>
      <c r="T33" s="72"/>
      <c r="U33" s="41"/>
      <c r="V33" s="72"/>
      <c r="W33" s="41"/>
      <c r="X33" s="72"/>
      <c r="Y33" s="70"/>
      <c r="Z33" s="72"/>
      <c r="AA33" s="70"/>
      <c r="AB33" s="72"/>
      <c r="AC33" s="72"/>
      <c r="AD33" s="72"/>
      <c r="AE33" s="70"/>
      <c r="AF33" s="72"/>
      <c r="AG33" s="70"/>
      <c r="AH33" s="72"/>
      <c r="AI33" s="70"/>
      <c r="AJ33" s="72"/>
      <c r="AK33" s="70"/>
      <c r="AL33" s="72"/>
      <c r="AM33" s="70"/>
      <c r="AN33" s="72"/>
      <c r="AO33" s="70"/>
      <c r="AP33" s="72"/>
      <c r="AQ33" s="70"/>
      <c r="AR33" s="72"/>
      <c r="AS33" s="70"/>
      <c r="AT33" s="41"/>
      <c r="AU33" s="70"/>
      <c r="AV33" s="41"/>
      <c r="AW33" s="41"/>
      <c r="AX33" s="70"/>
      <c r="AZ33" s="288"/>
      <c r="BA33" s="288"/>
    </row>
    <row r="34" spans="2:53" ht="6" customHeight="1">
      <c r="B34" s="42"/>
      <c r="C34" s="42"/>
      <c r="D34" s="16"/>
      <c r="E34" s="16"/>
      <c r="F34" s="16"/>
      <c r="G34" s="16"/>
      <c r="H34" s="16"/>
      <c r="I34" s="16"/>
      <c r="J34" s="16"/>
      <c r="K34" s="16"/>
      <c r="L34" s="16"/>
      <c r="M34" s="16"/>
      <c r="N34" s="16"/>
      <c r="O34" s="16"/>
      <c r="P34" s="16"/>
      <c r="Q34" s="16"/>
      <c r="R34" s="16"/>
      <c r="S34" s="17"/>
      <c r="T34" s="27"/>
      <c r="U34" s="17"/>
      <c r="V34" s="27"/>
      <c r="W34" s="17"/>
      <c r="X34" s="27"/>
      <c r="Y34" s="16"/>
      <c r="Z34" s="27"/>
      <c r="AA34" s="16"/>
      <c r="AB34" s="27"/>
      <c r="AC34" s="27"/>
      <c r="AD34" s="27"/>
      <c r="AE34" s="16"/>
      <c r="AF34" s="27"/>
      <c r="AG34" s="16"/>
      <c r="AH34" s="27"/>
      <c r="AI34" s="16"/>
      <c r="AJ34" s="27"/>
      <c r="AK34" s="16"/>
      <c r="AL34" s="27"/>
      <c r="AM34" s="16"/>
      <c r="AN34" s="27"/>
      <c r="AO34" s="16"/>
      <c r="AP34" s="27"/>
      <c r="AQ34" s="16"/>
      <c r="AR34" s="27"/>
      <c r="AS34" s="16"/>
      <c r="AT34" s="17"/>
      <c r="AU34" s="16"/>
      <c r="AV34" s="17"/>
      <c r="AW34" s="17"/>
      <c r="AX34" s="16"/>
      <c r="AZ34" s="288"/>
      <c r="BA34" s="288"/>
    </row>
    <row r="35" spans="2:53" ht="10.5" customHeight="1">
      <c r="B35" s="42"/>
      <c r="C35" s="42"/>
      <c r="D35" s="16"/>
      <c r="E35" s="16"/>
      <c r="F35" s="16"/>
      <c r="G35" s="16"/>
      <c r="H35" s="16"/>
      <c r="I35" s="16"/>
      <c r="J35" s="16"/>
      <c r="K35" s="16"/>
      <c r="L35" s="16"/>
      <c r="M35" s="16"/>
      <c r="N35" s="16"/>
      <c r="O35" s="16"/>
      <c r="P35" s="16"/>
      <c r="Q35" s="16"/>
      <c r="R35" s="16"/>
      <c r="S35" s="17"/>
      <c r="T35" s="27"/>
      <c r="U35" s="17"/>
      <c r="V35" s="27"/>
      <c r="W35" s="17"/>
      <c r="X35" s="27"/>
      <c r="Y35" s="16"/>
      <c r="Z35" s="27"/>
      <c r="AA35" s="16"/>
      <c r="AB35" s="27"/>
      <c r="AC35" s="27"/>
      <c r="AD35" s="27"/>
      <c r="AE35" s="16"/>
      <c r="AF35" s="27"/>
      <c r="AG35" s="16"/>
      <c r="AH35" s="27"/>
      <c r="AI35" s="16"/>
      <c r="AJ35" s="27"/>
      <c r="AK35" s="16"/>
      <c r="AL35" s="27"/>
      <c r="AM35" s="16"/>
      <c r="AN35" s="27"/>
      <c r="AO35" s="16"/>
      <c r="AP35" s="27"/>
      <c r="AQ35" s="16"/>
      <c r="AR35" s="27"/>
      <c r="AS35" s="16"/>
      <c r="AT35" s="17"/>
      <c r="AU35" s="16"/>
      <c r="AV35" s="17"/>
      <c r="AW35" s="17"/>
      <c r="AX35" s="16"/>
      <c r="AZ35" s="288"/>
      <c r="BA35" s="288"/>
    </row>
    <row r="36" spans="2:53" ht="14.25" customHeight="1">
      <c r="B36" s="523" t="s">
        <v>1429</v>
      </c>
      <c r="C36" s="528"/>
      <c r="D36" s="528"/>
      <c r="E36" s="497"/>
      <c r="F36" s="502"/>
      <c r="G36" s="497"/>
      <c r="H36" s="502"/>
      <c r="I36" s="497"/>
      <c r="J36" s="502"/>
      <c r="K36" s="497"/>
      <c r="L36" s="502"/>
      <c r="M36" s="497"/>
      <c r="N36" s="502"/>
      <c r="O36" s="497"/>
      <c r="P36" s="502"/>
      <c r="Q36" s="497"/>
      <c r="R36" s="502"/>
      <c r="S36" s="497"/>
      <c r="T36" s="502"/>
      <c r="U36" s="497"/>
      <c r="V36" s="502"/>
      <c r="W36" s="497"/>
      <c r="X36" s="502"/>
      <c r="Y36" s="497"/>
      <c r="Z36" s="502"/>
      <c r="AA36" s="497"/>
      <c r="AB36" s="502"/>
      <c r="AC36" s="61"/>
      <c r="AD36" s="61"/>
      <c r="AE36" s="42"/>
      <c r="AF36" s="61"/>
      <c r="AG36" s="42"/>
      <c r="AH36" s="61"/>
      <c r="AI36" s="42"/>
      <c r="AJ36" s="61"/>
      <c r="AK36" s="42"/>
      <c r="AL36" s="61"/>
      <c r="AM36" s="497"/>
      <c r="AN36" s="502"/>
      <c r="AO36" s="497"/>
      <c r="AP36" s="502"/>
      <c r="AQ36" s="497"/>
      <c r="AR36" s="502"/>
      <c r="AS36" s="42"/>
      <c r="AU36" s="42"/>
      <c r="AX36" s="283" t="s">
        <v>261</v>
      </c>
      <c r="AZ36" s="288"/>
      <c r="BA36" s="288"/>
    </row>
    <row r="37" spans="2:53" ht="6" customHeight="1">
      <c r="B37" s="80"/>
      <c r="C37" s="81"/>
      <c r="D37" s="81"/>
      <c r="E37" s="80"/>
      <c r="F37" s="81"/>
      <c r="G37" s="80"/>
      <c r="H37" s="81"/>
      <c r="I37" s="80"/>
      <c r="J37" s="81"/>
      <c r="K37" s="80"/>
      <c r="L37" s="81"/>
      <c r="M37" s="80"/>
      <c r="N37" s="81"/>
      <c r="O37" s="80"/>
      <c r="P37" s="81"/>
      <c r="Q37" s="80"/>
      <c r="R37" s="81"/>
      <c r="S37" s="80"/>
      <c r="T37" s="81"/>
      <c r="U37" s="80"/>
      <c r="V37" s="81"/>
      <c r="W37" s="80"/>
      <c r="X37" s="81"/>
      <c r="Y37" s="80"/>
      <c r="Z37" s="81"/>
      <c r="AA37" s="80"/>
      <c r="AB37" s="81"/>
      <c r="AC37" s="81"/>
      <c r="AD37" s="81"/>
      <c r="AE37" s="80"/>
      <c r="AF37" s="81"/>
      <c r="AG37" s="80"/>
      <c r="AH37" s="81"/>
      <c r="AI37" s="80"/>
      <c r="AJ37" s="81"/>
      <c r="AK37" s="80"/>
      <c r="AL37" s="81"/>
      <c r="AM37" s="80"/>
      <c r="AN37" s="81"/>
      <c r="AO37" s="80"/>
      <c r="AP37" s="81"/>
      <c r="AQ37" s="80"/>
      <c r="AR37" s="81"/>
      <c r="AS37" s="80"/>
      <c r="AT37" s="80"/>
      <c r="AU37" s="80"/>
      <c r="AV37" s="80"/>
      <c r="AW37" s="80"/>
      <c r="AX37" s="81"/>
    </row>
    <row r="38" spans="2:53" ht="6" customHeight="1">
      <c r="B38" s="42"/>
      <c r="C38" s="61"/>
      <c r="D38" s="61"/>
      <c r="E38" s="42"/>
      <c r="F38" s="61"/>
      <c r="G38" s="42"/>
      <c r="H38" s="61"/>
      <c r="I38" s="42"/>
      <c r="J38" s="61"/>
      <c r="K38" s="42"/>
      <c r="L38" s="61"/>
      <c r="M38" s="42"/>
      <c r="N38" s="61"/>
      <c r="O38" s="42"/>
      <c r="P38" s="61"/>
      <c r="Q38" s="42"/>
      <c r="R38" s="61"/>
      <c r="S38" s="42"/>
      <c r="T38" s="61"/>
      <c r="U38" s="42"/>
      <c r="V38" s="61"/>
      <c r="W38" s="42"/>
      <c r="X38" s="61"/>
      <c r="Y38" s="42"/>
      <c r="Z38" s="61"/>
      <c r="AA38" s="42"/>
      <c r="AB38" s="61"/>
      <c r="AC38" s="61"/>
      <c r="AD38" s="61"/>
      <c r="AE38" s="42"/>
      <c r="AF38" s="61"/>
      <c r="AG38" s="42"/>
      <c r="AH38" s="61"/>
      <c r="AI38" s="42"/>
      <c r="AJ38" s="61"/>
      <c r="AK38" s="42"/>
      <c r="AL38" s="61"/>
      <c r="AM38" s="42"/>
      <c r="AN38" s="61"/>
      <c r="AO38" s="42"/>
      <c r="AP38" s="61"/>
      <c r="AQ38" s="42"/>
      <c r="AR38" s="61"/>
      <c r="AS38" s="42"/>
      <c r="AT38" s="42"/>
      <c r="AU38" s="42"/>
      <c r="AV38" s="42"/>
      <c r="AW38" s="42"/>
      <c r="AX38" s="61"/>
    </row>
    <row r="39" spans="2:53" ht="10.5" customHeight="1">
      <c r="B39" s="42"/>
      <c r="C39" s="42"/>
      <c r="D39" s="63" t="s">
        <v>258</v>
      </c>
      <c r="E39" s="17"/>
      <c r="F39" s="27"/>
      <c r="G39" s="17"/>
      <c r="H39" s="27"/>
      <c r="I39" s="17"/>
      <c r="J39" s="27"/>
      <c r="K39" s="17"/>
      <c r="L39" s="27"/>
      <c r="M39" s="17"/>
      <c r="N39" s="27"/>
      <c r="O39" s="17"/>
      <c r="P39" s="27"/>
      <c r="Q39" s="17"/>
      <c r="R39" s="27"/>
      <c r="S39" s="17"/>
      <c r="T39" s="27"/>
      <c r="U39" s="17"/>
      <c r="V39" s="27"/>
      <c r="W39" s="17"/>
      <c r="X39" s="27"/>
      <c r="Y39" s="16"/>
      <c r="Z39" s="27"/>
      <c r="AA39" s="16"/>
      <c r="AB39" s="27"/>
      <c r="AC39" s="27"/>
      <c r="AD39" s="27"/>
      <c r="AE39" s="16"/>
      <c r="AF39" s="27"/>
      <c r="AG39" s="16"/>
      <c r="AH39" s="27"/>
      <c r="AI39" s="16"/>
      <c r="AJ39" s="27"/>
      <c r="AK39" s="16"/>
      <c r="AL39" s="27"/>
      <c r="AM39" s="16"/>
      <c r="AN39" s="27"/>
      <c r="AO39" s="16"/>
      <c r="AP39" s="27"/>
      <c r="AQ39" s="16"/>
      <c r="AR39" s="27"/>
      <c r="AS39" s="16"/>
      <c r="AT39" s="17"/>
      <c r="AU39" s="16"/>
      <c r="AV39" s="17"/>
      <c r="AW39" s="17"/>
      <c r="AX39" s="63" t="s">
        <v>259</v>
      </c>
    </row>
    <row r="40" spans="2:53" ht="10.5" customHeight="1">
      <c r="B40" s="42">
        <v>7</v>
      </c>
      <c r="C40" s="42"/>
      <c r="D40" s="16" t="s">
        <v>260</v>
      </c>
      <c r="E40" s="25">
        <v>165.8</v>
      </c>
      <c r="F40" s="21"/>
      <c r="G40" s="25">
        <v>250.7</v>
      </c>
      <c r="H40" s="21"/>
      <c r="I40" s="25">
        <v>440.9</v>
      </c>
      <c r="J40" s="21"/>
      <c r="K40" s="25">
        <v>202.3</v>
      </c>
      <c r="L40" s="21"/>
      <c r="M40" s="25">
        <v>31.9</v>
      </c>
      <c r="N40" s="21"/>
      <c r="O40" s="25">
        <v>32.173000000000002</v>
      </c>
      <c r="P40" s="21"/>
      <c r="Q40" s="25">
        <v>68.8</v>
      </c>
      <c r="R40" s="21"/>
      <c r="S40" s="28">
        <v>35.199999999999996</v>
      </c>
      <c r="T40" s="28"/>
      <c r="U40" s="28">
        <v>97.3</v>
      </c>
      <c r="V40" s="28"/>
      <c r="W40" s="28">
        <v>727.3</v>
      </c>
      <c r="X40" s="28"/>
      <c r="Y40" s="28">
        <v>1558.1999999999998</v>
      </c>
      <c r="Z40" s="28"/>
      <c r="AA40" s="28">
        <v>1125.5</v>
      </c>
      <c r="AB40" s="16"/>
      <c r="AC40" s="16">
        <v>1273.8</v>
      </c>
      <c r="AD40" s="16"/>
      <c r="AE40" s="28">
        <v>1569.9</v>
      </c>
      <c r="AF40" s="28"/>
      <c r="AG40" s="28">
        <v>2113.4</v>
      </c>
      <c r="AH40" s="16"/>
      <c r="AI40" s="28">
        <v>1157.4000000000001</v>
      </c>
      <c r="AJ40" s="23"/>
      <c r="AK40" s="28">
        <v>659.1</v>
      </c>
      <c r="AL40" s="16"/>
      <c r="AM40" s="28">
        <v>758.90000000000009</v>
      </c>
      <c r="AN40" s="16"/>
      <c r="AO40" s="28">
        <v>862</v>
      </c>
      <c r="AP40" s="23"/>
      <c r="AQ40" s="17">
        <v>1113.9000000000001</v>
      </c>
      <c r="AR40" s="16"/>
      <c r="AS40" s="17">
        <v>1233.7</v>
      </c>
      <c r="AT40" s="17"/>
      <c r="AU40" s="26">
        <v>833.5</v>
      </c>
      <c r="AV40" s="17"/>
      <c r="AW40" s="17"/>
      <c r="AX40" s="16" t="s">
        <v>261</v>
      </c>
    </row>
    <row r="41" spans="2:53" ht="10.5" customHeight="1">
      <c r="B41" s="42">
        <v>8</v>
      </c>
      <c r="C41" s="42"/>
      <c r="D41" s="16" t="s">
        <v>262</v>
      </c>
      <c r="E41" s="17" t="s">
        <v>78</v>
      </c>
      <c r="F41" s="17"/>
      <c r="G41" s="17" t="s">
        <v>78</v>
      </c>
      <c r="H41" s="17"/>
      <c r="I41" s="17" t="s">
        <v>78</v>
      </c>
      <c r="J41" s="17"/>
      <c r="K41" s="17" t="s">
        <v>78</v>
      </c>
      <c r="L41" s="16"/>
      <c r="M41" s="25">
        <v>95.8</v>
      </c>
      <c r="N41" s="25"/>
      <c r="O41" s="25">
        <v>99.6</v>
      </c>
      <c r="P41" s="25"/>
      <c r="Q41" s="25">
        <v>65.600000000000009</v>
      </c>
      <c r="R41" s="25"/>
      <c r="S41" s="25">
        <v>87.399999999999991</v>
      </c>
      <c r="T41" s="25"/>
      <c r="U41" s="25">
        <v>140.30000000000001</v>
      </c>
      <c r="V41" s="25"/>
      <c r="W41" s="25">
        <v>82.699999999999989</v>
      </c>
      <c r="X41" s="25"/>
      <c r="Y41" s="25">
        <v>52.2</v>
      </c>
      <c r="Z41" s="32"/>
      <c r="AA41" s="25">
        <v>65.800000000000011</v>
      </c>
      <c r="AB41" s="16"/>
      <c r="AC41" s="25">
        <v>64.7</v>
      </c>
      <c r="AD41" s="16"/>
      <c r="AE41" s="26">
        <v>17.899999999999999</v>
      </c>
      <c r="AF41" s="16"/>
      <c r="AG41" s="26">
        <v>28.8</v>
      </c>
      <c r="AH41" s="16"/>
      <c r="AI41" s="26">
        <v>87.7</v>
      </c>
      <c r="AJ41" s="23"/>
      <c r="AK41" s="26">
        <v>97.5</v>
      </c>
      <c r="AL41" s="16"/>
      <c r="AM41" s="26">
        <v>116.30000000000001</v>
      </c>
      <c r="AN41" s="16"/>
      <c r="AO41" s="26">
        <v>119.2</v>
      </c>
      <c r="AP41" s="23"/>
      <c r="AQ41" s="26">
        <v>106.6</v>
      </c>
      <c r="AR41" s="16"/>
      <c r="AS41" s="26">
        <v>70.5</v>
      </c>
      <c r="AT41" s="17"/>
      <c r="AU41" s="26">
        <v>104.9</v>
      </c>
      <c r="AV41" s="17"/>
      <c r="AW41" s="17"/>
      <c r="AX41" s="16" t="s">
        <v>263</v>
      </c>
    </row>
    <row r="42" spans="2:53" ht="10.5" customHeight="1">
      <c r="B42" s="42">
        <v>9</v>
      </c>
      <c r="C42" s="42"/>
      <c r="D42" s="16" t="s">
        <v>264</v>
      </c>
      <c r="E42" s="25">
        <v>123.9</v>
      </c>
      <c r="F42" s="21"/>
      <c r="G42" s="25">
        <v>138.30000000000001</v>
      </c>
      <c r="H42" s="21"/>
      <c r="I42" s="25">
        <v>157.69999999999999</v>
      </c>
      <c r="J42" s="21"/>
      <c r="K42" s="25">
        <v>172.39999999999998</v>
      </c>
      <c r="L42" s="21"/>
      <c r="M42" s="185">
        <v>126</v>
      </c>
      <c r="N42" s="21"/>
      <c r="O42" s="25">
        <v>173.64000000000001</v>
      </c>
      <c r="P42" s="21"/>
      <c r="Q42" s="25">
        <v>173.1</v>
      </c>
      <c r="R42" s="21"/>
      <c r="S42" s="25">
        <v>219.6</v>
      </c>
      <c r="T42" s="21"/>
      <c r="U42" s="25">
        <v>241.9</v>
      </c>
      <c r="V42" s="21"/>
      <c r="W42" s="25">
        <v>113.00000000000001</v>
      </c>
      <c r="X42" s="21"/>
      <c r="Y42" s="25">
        <v>130.9</v>
      </c>
      <c r="Z42" s="32"/>
      <c r="AA42" s="25">
        <v>149.1</v>
      </c>
      <c r="AB42" s="16"/>
      <c r="AC42" s="16">
        <v>164</v>
      </c>
      <c r="AD42" s="16"/>
      <c r="AE42" s="26">
        <v>187.9</v>
      </c>
      <c r="AF42" s="16"/>
      <c r="AG42" s="26">
        <v>186.99999999999997</v>
      </c>
      <c r="AH42" s="16"/>
      <c r="AI42" s="26">
        <v>208.1</v>
      </c>
      <c r="AJ42" s="23"/>
      <c r="AK42" s="26">
        <v>178.20000000000002</v>
      </c>
      <c r="AL42" s="16"/>
      <c r="AM42" s="26">
        <v>188.363</v>
      </c>
      <c r="AN42" s="16"/>
      <c r="AO42" s="26">
        <v>170.89999999999998</v>
      </c>
      <c r="AP42" s="23"/>
      <c r="AQ42" s="26">
        <v>185.29999999999998</v>
      </c>
      <c r="AR42" s="16"/>
      <c r="AS42" s="26">
        <v>309.7</v>
      </c>
      <c r="AT42" s="17"/>
      <c r="AU42" s="26">
        <v>290.7</v>
      </c>
      <c r="AV42" s="17"/>
      <c r="AW42" s="17"/>
      <c r="AX42" s="16" t="s">
        <v>265</v>
      </c>
    </row>
    <row r="43" spans="2:53" ht="10.5" customHeight="1">
      <c r="B43" s="42">
        <v>10</v>
      </c>
      <c r="C43" s="42"/>
      <c r="D43" s="18" t="s">
        <v>231</v>
      </c>
      <c r="E43" s="65">
        <v>289.70000000000005</v>
      </c>
      <c r="F43" s="65"/>
      <c r="G43" s="65">
        <v>389</v>
      </c>
      <c r="H43" s="65"/>
      <c r="I43" s="65">
        <v>598.59999999999991</v>
      </c>
      <c r="J43" s="65"/>
      <c r="K43" s="65">
        <v>374.7</v>
      </c>
      <c r="L43" s="66"/>
      <c r="M43" s="65">
        <v>253.7</v>
      </c>
      <c r="N43" s="65"/>
      <c r="O43" s="65">
        <v>305.41300000000001</v>
      </c>
      <c r="P43" s="65"/>
      <c r="Q43" s="65">
        <v>307.5</v>
      </c>
      <c r="R43" s="65"/>
      <c r="S43" s="65">
        <v>342.2</v>
      </c>
      <c r="T43" s="65"/>
      <c r="U43" s="65">
        <v>479.5</v>
      </c>
      <c r="V43" s="65"/>
      <c r="W43" s="65">
        <v>923</v>
      </c>
      <c r="X43" s="65"/>
      <c r="Y43" s="65">
        <v>1741.3</v>
      </c>
      <c r="Z43" s="65"/>
      <c r="AA43" s="65">
        <v>1340.3999999999999</v>
      </c>
      <c r="AB43" s="18"/>
      <c r="AC43" s="18">
        <v>1502.5</v>
      </c>
      <c r="AD43" s="18"/>
      <c r="AE43" s="65">
        <v>1775.7000000000003</v>
      </c>
      <c r="AF43" s="18"/>
      <c r="AG43" s="65">
        <v>2329.1999999999998</v>
      </c>
      <c r="AH43" s="18"/>
      <c r="AI43" s="65">
        <v>1453.2</v>
      </c>
      <c r="AJ43" s="23"/>
      <c r="AK43" s="65">
        <v>934.80000000000007</v>
      </c>
      <c r="AL43" s="18"/>
      <c r="AM43" s="65">
        <v>1063.5630000000001</v>
      </c>
      <c r="AN43" s="18"/>
      <c r="AO43" s="65">
        <v>1152.0999999999999</v>
      </c>
      <c r="AP43" s="23"/>
      <c r="AQ43" s="65">
        <v>1405.8</v>
      </c>
      <c r="AR43" s="18"/>
      <c r="AS43" s="65">
        <v>1613.8999999999999</v>
      </c>
      <c r="AT43" s="66"/>
      <c r="AU43" s="65">
        <v>1229.0999999999999</v>
      </c>
      <c r="AV43" s="66"/>
      <c r="AW43" s="66"/>
      <c r="AX43" s="18" t="s">
        <v>84</v>
      </c>
    </row>
    <row r="44" spans="2:53" ht="6" customHeight="1">
      <c r="B44" s="80"/>
      <c r="C44" s="80"/>
      <c r="D44" s="46"/>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46"/>
    </row>
    <row r="45" spans="2:53" ht="6" customHeight="1">
      <c r="B45" s="52"/>
      <c r="C45" s="42"/>
      <c r="D45" s="24"/>
      <c r="E45" s="24"/>
      <c r="F45" s="24"/>
      <c r="G45" s="24"/>
      <c r="H45" s="24"/>
      <c r="I45" s="24"/>
      <c r="J45" s="24"/>
      <c r="K45" s="24"/>
      <c r="L45" s="24"/>
      <c r="M45" s="24"/>
      <c r="N45" s="24"/>
      <c r="O45" s="24"/>
      <c r="P45" s="24"/>
      <c r="Q45" s="24"/>
      <c r="R45" s="24"/>
      <c r="S45" s="42"/>
      <c r="T45" s="61"/>
      <c r="U45" s="42"/>
      <c r="V45" s="61"/>
      <c r="W45" s="42"/>
      <c r="X45" s="61"/>
      <c r="Y45" s="42"/>
      <c r="Z45" s="61"/>
      <c r="AA45" s="42"/>
      <c r="AB45" s="61"/>
      <c r="AC45" s="61"/>
      <c r="AD45" s="61"/>
      <c r="AE45" s="42"/>
      <c r="AF45" s="61"/>
      <c r="AG45" s="42"/>
      <c r="AH45" s="61"/>
      <c r="AI45" s="42"/>
      <c r="AJ45" s="61"/>
      <c r="AK45" s="42"/>
      <c r="AL45" s="61"/>
      <c r="AM45" s="42"/>
      <c r="AN45" s="61"/>
      <c r="AO45" s="42"/>
      <c r="AP45" s="61"/>
      <c r="AQ45" s="42"/>
      <c r="AR45" s="61"/>
      <c r="AS45" s="17"/>
      <c r="AT45" s="17"/>
      <c r="AU45" s="17"/>
      <c r="AV45" s="17"/>
      <c r="AW45" s="17"/>
      <c r="AX45" s="42"/>
    </row>
    <row r="46" spans="2:53">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row>
    <row r="49" spans="2:50" ht="15.75" customHeight="1">
      <c r="B49" s="10" t="s">
        <v>1105</v>
      </c>
      <c r="C49" s="10"/>
    </row>
    <row r="50" spans="2:50" ht="15.75" customHeight="1">
      <c r="B50" s="156" t="s">
        <v>1106</v>
      </c>
      <c r="E50" s="10"/>
      <c r="F50" s="10"/>
      <c r="G50" s="10"/>
      <c r="H50" s="10"/>
      <c r="I50" s="10"/>
      <c r="J50" s="10"/>
      <c r="K50" s="10"/>
      <c r="L50" s="10"/>
      <c r="M50" s="10"/>
      <c r="N50" s="10"/>
      <c r="O50" s="10"/>
      <c r="P50" s="10"/>
      <c r="Q50" s="10"/>
      <c r="R50" s="10"/>
    </row>
    <row r="51" spans="2:50" ht="6" customHeight="1">
      <c r="B51" s="13"/>
      <c r="C51" s="13"/>
      <c r="D51" s="62"/>
      <c r="E51" s="62"/>
      <c r="F51" s="62"/>
      <c r="G51" s="62"/>
      <c r="H51" s="62"/>
      <c r="I51" s="62"/>
      <c r="J51" s="62"/>
      <c r="K51" s="62"/>
      <c r="L51" s="62"/>
      <c r="M51" s="62"/>
      <c r="N51" s="62"/>
      <c r="O51" s="62"/>
      <c r="P51" s="62"/>
      <c r="Q51" s="62"/>
      <c r="R51" s="62"/>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row>
    <row r="52" spans="2:50" ht="6.6" customHeight="1"/>
    <row r="53" spans="2:50" ht="14.25" customHeight="1">
      <c r="B53" s="523" t="s">
        <v>266</v>
      </c>
      <c r="C53" s="523"/>
      <c r="D53" s="523"/>
      <c r="E53" s="281">
        <v>2000</v>
      </c>
      <c r="F53" s="404"/>
      <c r="G53" s="281">
        <v>2001</v>
      </c>
      <c r="H53" s="404"/>
      <c r="I53" s="281">
        <v>2002</v>
      </c>
      <c r="J53" s="404"/>
      <c r="K53" s="281">
        <v>2003</v>
      </c>
      <c r="L53" s="404"/>
      <c r="M53" s="281">
        <v>2004</v>
      </c>
      <c r="N53" s="404"/>
      <c r="O53" s="281">
        <v>2005</v>
      </c>
      <c r="P53" s="404"/>
      <c r="Q53" s="281">
        <v>2006</v>
      </c>
      <c r="R53" s="404"/>
      <c r="S53" s="281">
        <v>2007</v>
      </c>
      <c r="T53" s="404"/>
      <c r="U53" s="281">
        <v>2008</v>
      </c>
      <c r="V53" s="404"/>
      <c r="W53" s="281">
        <v>2009</v>
      </c>
      <c r="X53" s="404"/>
      <c r="Y53" s="281">
        <v>2010</v>
      </c>
      <c r="Z53" s="404"/>
      <c r="AA53" s="281">
        <v>2011</v>
      </c>
      <c r="AB53" s="404"/>
      <c r="AC53" s="281">
        <v>2012</v>
      </c>
      <c r="AD53" s="404"/>
      <c r="AE53" s="281">
        <v>2013</v>
      </c>
      <c r="AF53" s="404"/>
      <c r="AG53" s="281">
        <v>2014</v>
      </c>
      <c r="AH53" s="404"/>
      <c r="AI53" s="281">
        <v>2015</v>
      </c>
      <c r="AJ53" s="404"/>
      <c r="AK53" s="281">
        <v>2016</v>
      </c>
      <c r="AL53" s="404"/>
      <c r="AM53" s="281">
        <v>2017</v>
      </c>
      <c r="AN53" s="404"/>
      <c r="AO53" s="281">
        <v>2018</v>
      </c>
      <c r="AP53" s="404"/>
      <c r="AQ53" s="281">
        <v>2019</v>
      </c>
      <c r="AR53" s="404"/>
      <c r="AS53" s="281">
        <v>2020</v>
      </c>
      <c r="AT53" s="404"/>
      <c r="AU53" s="281">
        <v>2021</v>
      </c>
      <c r="AV53" s="404"/>
      <c r="AX53" s="63" t="s">
        <v>267</v>
      </c>
    </row>
    <row r="54" spans="2:50" ht="6" customHeight="1">
      <c r="B54" s="80"/>
      <c r="C54" s="80"/>
      <c r="D54" s="80"/>
      <c r="E54" s="80"/>
      <c r="F54" s="81"/>
      <c r="G54" s="80"/>
      <c r="H54" s="81"/>
      <c r="I54" s="80"/>
      <c r="J54" s="81"/>
      <c r="K54" s="80"/>
      <c r="L54" s="81"/>
      <c r="M54" s="80"/>
      <c r="N54" s="81"/>
      <c r="O54" s="80"/>
      <c r="P54" s="81"/>
      <c r="Q54" s="80"/>
      <c r="R54" s="81"/>
      <c r="S54" s="80"/>
      <c r="T54" s="81"/>
      <c r="U54" s="80"/>
      <c r="V54" s="81"/>
      <c r="W54" s="80"/>
      <c r="X54" s="81"/>
      <c r="Y54" s="80"/>
      <c r="Z54" s="81"/>
      <c r="AA54" s="80"/>
      <c r="AB54" s="81"/>
      <c r="AC54" s="81"/>
      <c r="AD54" s="81"/>
      <c r="AE54" s="80"/>
      <c r="AF54" s="81"/>
      <c r="AG54" s="80"/>
      <c r="AH54" s="81"/>
      <c r="AI54" s="80"/>
      <c r="AJ54" s="81"/>
      <c r="AK54" s="80"/>
      <c r="AL54" s="81"/>
      <c r="AM54" s="80"/>
      <c r="AN54" s="81"/>
      <c r="AO54" s="80"/>
      <c r="AP54" s="81"/>
      <c r="AQ54" s="80"/>
      <c r="AR54" s="81"/>
      <c r="AS54" s="80"/>
      <c r="AT54" s="80"/>
      <c r="AU54" s="80"/>
      <c r="AV54" s="80"/>
      <c r="AW54" s="80"/>
      <c r="AX54" s="81"/>
    </row>
    <row r="55" spans="2:50" ht="6" customHeight="1">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row>
    <row r="56" spans="2:50" ht="10.5" customHeight="1">
      <c r="B56" s="42"/>
      <c r="C56" s="42"/>
      <c r="D56" s="63" t="s">
        <v>268</v>
      </c>
      <c r="E56" s="64"/>
      <c r="F56" s="16"/>
      <c r="G56" s="64"/>
      <c r="H56" s="16"/>
      <c r="I56" s="64"/>
      <c r="J56" s="16"/>
      <c r="K56" s="64"/>
      <c r="L56" s="16"/>
      <c r="M56" s="64"/>
      <c r="N56" s="16"/>
      <c r="O56" s="64"/>
      <c r="P56" s="16"/>
      <c r="Q56" s="64"/>
      <c r="R56" s="16"/>
      <c r="S56" s="64"/>
      <c r="T56" s="16"/>
      <c r="U56" s="64"/>
      <c r="V56" s="16"/>
      <c r="W56" s="64"/>
      <c r="X56" s="16"/>
      <c r="Y56" s="64"/>
      <c r="Z56" s="16"/>
      <c r="AA56" s="64"/>
      <c r="AB56" s="16"/>
      <c r="AC56" s="16"/>
      <c r="AD56" s="16"/>
      <c r="AE56" s="64"/>
      <c r="AF56" s="16"/>
      <c r="AG56" s="64"/>
      <c r="AH56" s="16"/>
      <c r="AI56" s="64"/>
      <c r="AJ56" s="16"/>
      <c r="AK56" s="64"/>
      <c r="AL56" s="16"/>
      <c r="AM56" s="64"/>
      <c r="AN56" s="16"/>
      <c r="AO56" s="64"/>
      <c r="AP56" s="16"/>
      <c r="AQ56" s="64"/>
      <c r="AR56" s="16"/>
      <c r="AS56" s="17"/>
      <c r="AT56" s="17"/>
      <c r="AU56" s="17"/>
      <c r="AV56" s="17"/>
      <c r="AW56" s="17"/>
      <c r="AX56" s="63" t="s">
        <v>269</v>
      </c>
    </row>
    <row r="57" spans="2:50" ht="10.5" customHeight="1">
      <c r="B57" s="42">
        <v>1</v>
      </c>
      <c r="C57" s="42"/>
      <c r="D57" s="16" t="s">
        <v>113</v>
      </c>
      <c r="E57" s="17" t="s">
        <v>78</v>
      </c>
      <c r="F57" s="23"/>
      <c r="G57" s="17" t="s">
        <v>78</v>
      </c>
      <c r="H57" s="16"/>
      <c r="I57" s="16">
        <v>3</v>
      </c>
      <c r="J57" s="16"/>
      <c r="K57" s="16">
        <v>3</v>
      </c>
      <c r="L57" s="16"/>
      <c r="M57" s="16">
        <v>3</v>
      </c>
      <c r="N57" s="16"/>
      <c r="O57" s="16">
        <v>3</v>
      </c>
      <c r="P57" s="16"/>
      <c r="Q57" s="16">
        <v>4</v>
      </c>
      <c r="R57" s="16"/>
      <c r="S57" s="17">
        <v>4</v>
      </c>
      <c r="T57" s="16"/>
      <c r="U57" s="16">
        <v>4</v>
      </c>
      <c r="V57" s="16"/>
      <c r="W57" s="16">
        <v>3</v>
      </c>
      <c r="X57" s="16"/>
      <c r="Y57" s="16">
        <v>3</v>
      </c>
      <c r="Z57" s="16"/>
      <c r="AA57" s="16">
        <v>3</v>
      </c>
      <c r="AB57" s="16"/>
      <c r="AC57" s="16">
        <v>2</v>
      </c>
      <c r="AD57" s="16"/>
      <c r="AE57" s="16">
        <v>4</v>
      </c>
      <c r="AF57" s="16"/>
      <c r="AG57" s="16">
        <v>2</v>
      </c>
      <c r="AH57" s="16"/>
      <c r="AI57" s="28">
        <v>4</v>
      </c>
      <c r="AJ57" s="16"/>
      <c r="AK57" s="26" t="s">
        <v>78</v>
      </c>
      <c r="AL57" s="16"/>
      <c r="AM57" s="26" t="s">
        <v>78</v>
      </c>
      <c r="AN57" s="16"/>
      <c r="AO57" s="26" t="s">
        <v>78</v>
      </c>
      <c r="AP57" s="16"/>
      <c r="AQ57" s="26" t="s">
        <v>78</v>
      </c>
      <c r="AR57" s="16"/>
      <c r="AS57" s="26" t="s">
        <v>78</v>
      </c>
      <c r="AT57" s="17"/>
      <c r="AU57" s="26" t="s">
        <v>78</v>
      </c>
      <c r="AV57" s="17"/>
      <c r="AW57" s="17"/>
      <c r="AX57" s="16" t="s">
        <v>128</v>
      </c>
    </row>
    <row r="58" spans="2:50" ht="10.5" customHeight="1">
      <c r="B58" s="42">
        <v>2</v>
      </c>
      <c r="C58" s="42"/>
      <c r="D58" s="16" t="s">
        <v>114</v>
      </c>
      <c r="E58" s="17" t="s">
        <v>78</v>
      </c>
      <c r="F58" s="23"/>
      <c r="G58" s="17" t="s">
        <v>78</v>
      </c>
      <c r="H58" s="16"/>
      <c r="I58" s="16">
        <v>17</v>
      </c>
      <c r="J58" s="16"/>
      <c r="K58" s="16">
        <v>19</v>
      </c>
      <c r="L58" s="16"/>
      <c r="M58" s="16">
        <v>19</v>
      </c>
      <c r="N58" s="16"/>
      <c r="O58" s="16">
        <v>19</v>
      </c>
      <c r="P58" s="16"/>
      <c r="Q58" s="16">
        <v>18</v>
      </c>
      <c r="R58" s="16"/>
      <c r="S58" s="17">
        <v>18</v>
      </c>
      <c r="T58" s="16"/>
      <c r="U58" s="16">
        <v>18</v>
      </c>
      <c r="V58" s="16"/>
      <c r="W58" s="16">
        <v>18</v>
      </c>
      <c r="X58" s="16"/>
      <c r="Y58" s="16">
        <v>18</v>
      </c>
      <c r="Z58" s="16"/>
      <c r="AA58" s="16">
        <v>18</v>
      </c>
      <c r="AB58" s="16"/>
      <c r="AC58" s="16">
        <v>24</v>
      </c>
      <c r="AD58" s="16"/>
      <c r="AE58" s="16">
        <v>22</v>
      </c>
      <c r="AF58" s="16"/>
      <c r="AG58" s="28">
        <v>24</v>
      </c>
      <c r="AH58" s="16"/>
      <c r="AI58" s="28">
        <v>20</v>
      </c>
      <c r="AJ58" s="16"/>
      <c r="AK58" s="26" t="s">
        <v>78</v>
      </c>
      <c r="AL58" s="16"/>
      <c r="AM58" s="26" t="s">
        <v>78</v>
      </c>
      <c r="AN58" s="16"/>
      <c r="AO58" s="26" t="s">
        <v>78</v>
      </c>
      <c r="AP58" s="16"/>
      <c r="AQ58" s="26" t="s">
        <v>78</v>
      </c>
      <c r="AR58" s="16"/>
      <c r="AS58" s="26" t="s">
        <v>78</v>
      </c>
      <c r="AT58" s="17"/>
      <c r="AU58" s="26" t="s">
        <v>78</v>
      </c>
      <c r="AV58" s="17"/>
      <c r="AW58" s="17"/>
      <c r="AX58" s="16" t="s">
        <v>129</v>
      </c>
    </row>
    <row r="59" spans="2:50" ht="10.5" customHeight="1">
      <c r="B59" s="42">
        <v>3</v>
      </c>
      <c r="C59" s="42"/>
      <c r="D59" s="18" t="s">
        <v>231</v>
      </c>
      <c r="E59" s="18">
        <v>14</v>
      </c>
      <c r="F59" s="18"/>
      <c r="G59" s="18">
        <v>14</v>
      </c>
      <c r="H59" s="18"/>
      <c r="I59" s="18">
        <v>20</v>
      </c>
      <c r="J59" s="18"/>
      <c r="K59" s="18">
        <v>22</v>
      </c>
      <c r="L59" s="18"/>
      <c r="M59" s="18">
        <v>22</v>
      </c>
      <c r="N59" s="18"/>
      <c r="O59" s="18">
        <v>22</v>
      </c>
      <c r="P59" s="18"/>
      <c r="Q59" s="18">
        <v>22</v>
      </c>
      <c r="R59" s="18"/>
      <c r="S59" s="66">
        <v>22</v>
      </c>
      <c r="T59" s="18"/>
      <c r="U59" s="18">
        <v>22</v>
      </c>
      <c r="V59" s="18"/>
      <c r="W59" s="18">
        <v>21</v>
      </c>
      <c r="X59" s="18"/>
      <c r="Y59" s="18">
        <v>21</v>
      </c>
      <c r="Z59" s="18"/>
      <c r="AA59" s="18">
        <v>21</v>
      </c>
      <c r="AB59" s="16"/>
      <c r="AC59" s="16">
        <v>26</v>
      </c>
      <c r="AD59" s="16"/>
      <c r="AE59" s="18">
        <v>26</v>
      </c>
      <c r="AF59" s="16"/>
      <c r="AG59" s="18">
        <v>26</v>
      </c>
      <c r="AH59" s="16"/>
      <c r="AI59" s="65">
        <v>24</v>
      </c>
      <c r="AJ59" s="16"/>
      <c r="AK59" s="26" t="s">
        <v>78</v>
      </c>
      <c r="AL59" s="16"/>
      <c r="AM59" s="26" t="s">
        <v>78</v>
      </c>
      <c r="AN59" s="16"/>
      <c r="AO59" s="26" t="s">
        <v>78</v>
      </c>
      <c r="AP59" s="16"/>
      <c r="AQ59" s="26" t="s">
        <v>78</v>
      </c>
      <c r="AR59" s="16"/>
      <c r="AS59" s="26" t="s">
        <v>78</v>
      </c>
      <c r="AT59" s="17"/>
      <c r="AU59" s="26" t="s">
        <v>78</v>
      </c>
      <c r="AV59" s="17"/>
      <c r="AW59" s="17"/>
      <c r="AX59" s="18" t="s">
        <v>84</v>
      </c>
    </row>
    <row r="60" spans="2:50" ht="6" customHeight="1">
      <c r="B60" s="34"/>
      <c r="C60" s="34"/>
      <c r="D60" s="70"/>
      <c r="E60" s="70"/>
      <c r="F60" s="70"/>
      <c r="G60" s="70"/>
      <c r="H60" s="70"/>
      <c r="I60" s="70"/>
      <c r="J60" s="70"/>
      <c r="K60" s="70"/>
      <c r="L60" s="70"/>
      <c r="M60" s="70"/>
      <c r="N60" s="70"/>
      <c r="O60" s="70"/>
      <c r="P60" s="70"/>
      <c r="Q60" s="70"/>
      <c r="R60" s="70"/>
      <c r="S60" s="41"/>
      <c r="T60" s="70"/>
      <c r="U60" s="70"/>
      <c r="V60" s="70"/>
      <c r="W60" s="70"/>
      <c r="X60" s="70"/>
      <c r="Y60" s="70"/>
      <c r="Z60" s="70"/>
      <c r="AA60" s="70"/>
      <c r="AB60" s="70"/>
      <c r="AC60" s="70"/>
      <c r="AD60" s="70"/>
      <c r="AE60" s="70"/>
      <c r="AF60" s="70"/>
      <c r="AG60" s="70"/>
      <c r="AH60" s="70"/>
      <c r="AI60" s="83"/>
      <c r="AJ60" s="70"/>
      <c r="AK60" s="70"/>
      <c r="AL60" s="70"/>
      <c r="AM60" s="70"/>
      <c r="AN60" s="70"/>
      <c r="AO60" s="70"/>
      <c r="AP60" s="70"/>
      <c r="AQ60" s="70"/>
      <c r="AR60" s="70"/>
      <c r="AS60" s="70"/>
      <c r="AT60" s="41"/>
      <c r="AU60" s="70"/>
      <c r="AV60" s="41"/>
      <c r="AW60" s="41"/>
      <c r="AX60" s="70"/>
    </row>
    <row r="61" spans="2:50" ht="6" customHeight="1">
      <c r="B61" s="42"/>
      <c r="C61" s="42"/>
      <c r="D61" s="24"/>
      <c r="E61" s="16"/>
      <c r="F61" s="16"/>
      <c r="G61" s="16"/>
      <c r="H61" s="16"/>
      <c r="I61" s="16"/>
      <c r="J61" s="16"/>
      <c r="K61" s="16"/>
      <c r="L61" s="16"/>
      <c r="M61" s="16"/>
      <c r="N61" s="16"/>
      <c r="O61" s="16"/>
      <c r="P61" s="16"/>
      <c r="Q61" s="16"/>
      <c r="R61" s="16"/>
      <c r="S61" s="17"/>
      <c r="T61" s="16"/>
      <c r="U61" s="16"/>
      <c r="V61" s="16"/>
      <c r="W61" s="16"/>
      <c r="X61" s="16"/>
      <c r="Y61" s="16"/>
      <c r="Z61" s="16"/>
      <c r="AA61" s="16"/>
      <c r="AB61" s="16"/>
      <c r="AC61" s="16"/>
      <c r="AD61" s="16"/>
      <c r="AE61" s="16"/>
      <c r="AF61" s="16"/>
      <c r="AG61" s="16"/>
      <c r="AH61" s="16"/>
      <c r="AI61" s="28"/>
      <c r="AJ61" s="16"/>
      <c r="AK61" s="16"/>
      <c r="AL61" s="16"/>
      <c r="AM61" s="16"/>
      <c r="AN61" s="16"/>
      <c r="AO61" s="16"/>
      <c r="AP61" s="16"/>
      <c r="AQ61" s="16"/>
      <c r="AR61" s="16"/>
      <c r="AS61" s="16"/>
      <c r="AT61" s="17"/>
      <c r="AU61" s="16"/>
      <c r="AV61" s="17"/>
      <c r="AW61" s="17"/>
      <c r="AX61" s="24"/>
    </row>
    <row r="62" spans="2:50" ht="10.5" customHeight="1">
      <c r="B62" s="42"/>
      <c r="C62" s="42"/>
      <c r="D62" s="63" t="s">
        <v>270</v>
      </c>
      <c r="Y62" s="16"/>
      <c r="AA62" s="16"/>
      <c r="AB62" s="16"/>
      <c r="AC62" s="16"/>
      <c r="AD62" s="16"/>
      <c r="AE62" s="16"/>
      <c r="AF62" s="16"/>
      <c r="AG62" s="16"/>
      <c r="AH62" s="16"/>
      <c r="AI62" s="28"/>
      <c r="AJ62" s="16"/>
      <c r="AK62" s="16"/>
      <c r="AL62" s="16"/>
      <c r="AM62" s="16"/>
      <c r="AN62" s="16"/>
      <c r="AO62" s="16"/>
      <c r="AP62" s="16"/>
      <c r="AQ62" s="16"/>
      <c r="AR62" s="16"/>
      <c r="AS62" s="16"/>
      <c r="AT62" s="17"/>
      <c r="AU62" s="16"/>
      <c r="AV62" s="17"/>
      <c r="AW62" s="17"/>
      <c r="AX62" s="63" t="s">
        <v>271</v>
      </c>
    </row>
    <row r="63" spans="2:50" ht="10.5" customHeight="1">
      <c r="B63" s="42">
        <v>4</v>
      </c>
      <c r="C63" s="42"/>
      <c r="D63" s="16" t="s">
        <v>113</v>
      </c>
      <c r="E63" s="17" t="s">
        <v>78</v>
      </c>
      <c r="F63" s="23"/>
      <c r="G63" s="17" t="s">
        <v>78</v>
      </c>
      <c r="I63" s="16">
        <v>9</v>
      </c>
      <c r="K63" s="16">
        <v>6</v>
      </c>
      <c r="M63" s="16">
        <v>12</v>
      </c>
      <c r="O63" s="16">
        <v>12</v>
      </c>
      <c r="Q63" s="16">
        <v>12</v>
      </c>
      <c r="S63" s="17">
        <v>12</v>
      </c>
      <c r="U63" s="16">
        <v>10</v>
      </c>
      <c r="W63" s="16">
        <v>15</v>
      </c>
      <c r="Y63" s="16">
        <v>13</v>
      </c>
      <c r="Z63" s="23"/>
      <c r="AA63" s="16">
        <v>19</v>
      </c>
      <c r="AB63" s="23"/>
      <c r="AC63" s="16">
        <v>21</v>
      </c>
      <c r="AD63" s="23"/>
      <c r="AE63" s="16">
        <v>26</v>
      </c>
      <c r="AF63" s="23"/>
      <c r="AG63" s="16">
        <v>28</v>
      </c>
      <c r="AH63" s="23"/>
      <c r="AI63" s="28">
        <v>31</v>
      </c>
      <c r="AJ63" s="23"/>
      <c r="AK63" s="16">
        <v>35</v>
      </c>
      <c r="AL63" s="23"/>
      <c r="AM63" s="16">
        <v>36</v>
      </c>
      <c r="AN63" s="23"/>
      <c r="AO63" s="16">
        <v>32</v>
      </c>
      <c r="AP63" s="23"/>
      <c r="AQ63" s="16">
        <v>30</v>
      </c>
      <c r="AR63" s="23"/>
      <c r="AS63" s="16">
        <v>35</v>
      </c>
      <c r="AT63" s="78" t="s">
        <v>810</v>
      </c>
      <c r="AU63" s="16">
        <v>32</v>
      </c>
      <c r="AV63" s="17"/>
      <c r="AW63" s="17"/>
      <c r="AX63" s="16" t="s">
        <v>128</v>
      </c>
    </row>
    <row r="64" spans="2:50" ht="10.5" customHeight="1">
      <c r="B64" s="42">
        <v>5</v>
      </c>
      <c r="C64" s="42"/>
      <c r="D64" s="16" t="s">
        <v>114</v>
      </c>
      <c r="E64" s="17" t="s">
        <v>78</v>
      </c>
      <c r="F64" s="23"/>
      <c r="G64" s="17" t="s">
        <v>78</v>
      </c>
      <c r="H64" s="16"/>
      <c r="I64" s="16">
        <v>41</v>
      </c>
      <c r="J64" s="16"/>
      <c r="K64" s="16">
        <v>39</v>
      </c>
      <c r="L64" s="16"/>
      <c r="M64" s="16">
        <v>37</v>
      </c>
      <c r="N64" s="16"/>
      <c r="O64" s="16">
        <v>37</v>
      </c>
      <c r="P64" s="16"/>
      <c r="Q64" s="16">
        <v>35</v>
      </c>
      <c r="R64" s="16"/>
      <c r="S64" s="17">
        <v>33</v>
      </c>
      <c r="T64" s="16"/>
      <c r="U64" s="16">
        <v>32</v>
      </c>
      <c r="V64" s="16"/>
      <c r="W64" s="16">
        <v>43</v>
      </c>
      <c r="X64" s="16"/>
      <c r="Y64" s="16">
        <v>46</v>
      </c>
      <c r="Z64" s="23"/>
      <c r="AA64" s="16">
        <v>62</v>
      </c>
      <c r="AB64" s="23"/>
      <c r="AC64" s="16">
        <v>61</v>
      </c>
      <c r="AD64" s="23"/>
      <c r="AE64" s="16">
        <v>67</v>
      </c>
      <c r="AF64" s="23"/>
      <c r="AG64" s="28">
        <v>74</v>
      </c>
      <c r="AH64" s="23"/>
      <c r="AI64" s="28">
        <v>80</v>
      </c>
      <c r="AJ64" s="23"/>
      <c r="AK64" s="28">
        <v>83</v>
      </c>
      <c r="AL64" s="23"/>
      <c r="AM64" s="28">
        <v>83</v>
      </c>
      <c r="AN64" s="23"/>
      <c r="AO64" s="28">
        <v>90</v>
      </c>
      <c r="AP64" s="23"/>
      <c r="AQ64" s="16">
        <v>89</v>
      </c>
      <c r="AR64" s="23"/>
      <c r="AS64" s="16">
        <v>86</v>
      </c>
      <c r="AT64" s="78" t="s">
        <v>810</v>
      </c>
      <c r="AU64" s="16">
        <v>90</v>
      </c>
      <c r="AV64" s="17"/>
      <c r="AW64" s="17"/>
      <c r="AX64" s="16" t="s">
        <v>129</v>
      </c>
    </row>
    <row r="65" spans="2:50" ht="10.5" customHeight="1">
      <c r="B65" s="42">
        <v>6</v>
      </c>
      <c r="D65" s="18" t="s">
        <v>231</v>
      </c>
      <c r="E65" s="18">
        <v>41</v>
      </c>
      <c r="F65" s="18"/>
      <c r="G65" s="18">
        <v>41</v>
      </c>
      <c r="H65" s="18"/>
      <c r="I65" s="18">
        <v>50</v>
      </c>
      <c r="J65" s="18"/>
      <c r="K65" s="18">
        <v>45</v>
      </c>
      <c r="L65" s="18"/>
      <c r="M65" s="18">
        <v>49</v>
      </c>
      <c r="N65" s="18"/>
      <c r="O65" s="18">
        <v>49</v>
      </c>
      <c r="P65" s="18"/>
      <c r="Q65" s="18">
        <v>47</v>
      </c>
      <c r="R65" s="18"/>
      <c r="S65" s="66">
        <v>45</v>
      </c>
      <c r="T65" s="18"/>
      <c r="U65" s="18">
        <v>42</v>
      </c>
      <c r="V65" s="18"/>
      <c r="W65" s="18">
        <v>58</v>
      </c>
      <c r="X65" s="18"/>
      <c r="Y65" s="18">
        <v>59</v>
      </c>
      <c r="Z65" s="67"/>
      <c r="AA65" s="18">
        <v>81</v>
      </c>
      <c r="AB65" s="67"/>
      <c r="AC65" s="18">
        <v>82</v>
      </c>
      <c r="AD65" s="67"/>
      <c r="AE65" s="18">
        <v>93</v>
      </c>
      <c r="AF65" s="67"/>
      <c r="AG65" s="18">
        <v>102</v>
      </c>
      <c r="AH65" s="67"/>
      <c r="AI65" s="65">
        <v>111</v>
      </c>
      <c r="AJ65" s="67"/>
      <c r="AK65" s="18">
        <v>118</v>
      </c>
      <c r="AL65" s="67"/>
      <c r="AM65" s="18">
        <v>119</v>
      </c>
      <c r="AN65" s="67"/>
      <c r="AO65" s="18">
        <v>122</v>
      </c>
      <c r="AP65" s="67"/>
      <c r="AQ65" s="18">
        <v>119</v>
      </c>
      <c r="AR65" s="67"/>
      <c r="AS65" s="18">
        <v>121</v>
      </c>
      <c r="AU65" s="18">
        <v>122</v>
      </c>
      <c r="AX65" s="18" t="s">
        <v>84</v>
      </c>
    </row>
    <row r="66" spans="2:50" ht="6" customHeight="1">
      <c r="B66" s="34"/>
      <c r="C66" s="77"/>
      <c r="D66" s="70"/>
      <c r="E66" s="70"/>
      <c r="F66" s="70"/>
      <c r="G66" s="70"/>
      <c r="H66" s="70"/>
      <c r="I66" s="70"/>
      <c r="J66" s="70"/>
      <c r="K66" s="70"/>
      <c r="L66" s="70"/>
      <c r="M66" s="70"/>
      <c r="N66" s="70"/>
      <c r="O66" s="70"/>
      <c r="P66" s="70"/>
      <c r="Q66" s="70"/>
      <c r="R66" s="70"/>
      <c r="S66" s="41"/>
      <c r="T66" s="70"/>
      <c r="U66" s="70"/>
      <c r="V66" s="70"/>
      <c r="W66" s="70"/>
      <c r="X66" s="70"/>
      <c r="Y66" s="70"/>
      <c r="Z66" s="70"/>
      <c r="AA66" s="70"/>
      <c r="AB66" s="77"/>
      <c r="AC66" s="77"/>
      <c r="AD66" s="77"/>
      <c r="AE66" s="70"/>
      <c r="AF66" s="77"/>
      <c r="AG66" s="70"/>
      <c r="AH66" s="77"/>
      <c r="AI66" s="83"/>
      <c r="AJ66" s="77"/>
      <c r="AK66" s="70"/>
      <c r="AL66" s="77"/>
      <c r="AM66" s="70"/>
      <c r="AN66" s="77"/>
      <c r="AO66" s="70"/>
      <c r="AP66" s="77"/>
      <c r="AQ66" s="70"/>
      <c r="AR66" s="77"/>
      <c r="AS66" s="70"/>
      <c r="AT66" s="77"/>
      <c r="AU66" s="70"/>
      <c r="AV66" s="77"/>
      <c r="AW66" s="77"/>
      <c r="AX66" s="70"/>
    </row>
    <row r="67" spans="2:50" ht="6" customHeight="1">
      <c r="B67" s="42"/>
      <c r="E67" s="16"/>
      <c r="G67" s="16"/>
      <c r="I67" s="16"/>
      <c r="K67" s="16"/>
      <c r="M67" s="16"/>
      <c r="O67" s="16"/>
      <c r="Q67" s="16"/>
      <c r="S67" s="17"/>
      <c r="U67" s="16"/>
      <c r="W67" s="16"/>
      <c r="Y67" s="16"/>
      <c r="AA67" s="16"/>
      <c r="AE67" s="16"/>
      <c r="AG67" s="16"/>
      <c r="AI67" s="28"/>
      <c r="AK67" s="16"/>
      <c r="AM67" s="16"/>
      <c r="AO67" s="16"/>
      <c r="AQ67" s="16"/>
      <c r="AS67" s="16"/>
      <c r="AU67" s="16"/>
    </row>
    <row r="68" spans="2:50" ht="10.5" customHeight="1">
      <c r="B68" s="42"/>
      <c r="C68" s="42"/>
      <c r="D68" s="63" t="s">
        <v>272</v>
      </c>
      <c r="Y68" s="16"/>
      <c r="AA68" s="16"/>
      <c r="AB68" s="16"/>
      <c r="AC68" s="16"/>
      <c r="AD68" s="16"/>
      <c r="AE68" s="16"/>
      <c r="AF68" s="16"/>
      <c r="AG68" s="16"/>
      <c r="AH68" s="16"/>
      <c r="AI68" s="28"/>
      <c r="AJ68" s="16"/>
      <c r="AK68" s="16"/>
      <c r="AL68" s="16"/>
      <c r="AM68" s="16"/>
      <c r="AN68" s="16"/>
      <c r="AO68" s="16"/>
      <c r="AP68" s="16"/>
      <c r="AQ68" s="16"/>
      <c r="AR68" s="16"/>
      <c r="AS68" s="16"/>
      <c r="AT68" s="17"/>
      <c r="AU68" s="16"/>
      <c r="AV68" s="17"/>
      <c r="AW68" s="17"/>
      <c r="AX68" s="63" t="s">
        <v>273</v>
      </c>
    </row>
    <row r="69" spans="2:50" ht="10.5" customHeight="1">
      <c r="B69" s="42">
        <v>7</v>
      </c>
      <c r="C69" s="42"/>
      <c r="D69" s="16" t="s">
        <v>113</v>
      </c>
      <c r="E69" s="17" t="s">
        <v>78</v>
      </c>
      <c r="F69" s="23"/>
      <c r="G69" s="17" t="s">
        <v>78</v>
      </c>
      <c r="H69" s="16"/>
      <c r="I69" s="16">
        <v>12</v>
      </c>
      <c r="J69" s="16"/>
      <c r="K69" s="16">
        <v>9</v>
      </c>
      <c r="L69" s="16"/>
      <c r="M69" s="16">
        <v>15</v>
      </c>
      <c r="N69" s="16"/>
      <c r="O69" s="16">
        <v>15</v>
      </c>
      <c r="P69" s="16"/>
      <c r="Q69" s="16">
        <v>16</v>
      </c>
      <c r="R69" s="16"/>
      <c r="S69" s="17">
        <v>16</v>
      </c>
      <c r="T69" s="16"/>
      <c r="U69" s="16">
        <v>14</v>
      </c>
      <c r="V69" s="16"/>
      <c r="W69" s="16">
        <v>18</v>
      </c>
      <c r="X69" s="16"/>
      <c r="Y69" s="16">
        <v>16</v>
      </c>
      <c r="Z69" s="23"/>
      <c r="AA69" s="16">
        <v>22</v>
      </c>
      <c r="AB69" s="23"/>
      <c r="AC69" s="16">
        <v>23</v>
      </c>
      <c r="AD69" s="23"/>
      <c r="AE69" s="16">
        <v>30</v>
      </c>
      <c r="AF69" s="23"/>
      <c r="AG69" s="16">
        <v>30</v>
      </c>
      <c r="AH69" s="23"/>
      <c r="AI69" s="16">
        <v>35</v>
      </c>
      <c r="AJ69" s="23"/>
      <c r="AK69" s="26" t="s">
        <v>78</v>
      </c>
      <c r="AL69" s="23"/>
      <c r="AM69" s="26" t="s">
        <v>78</v>
      </c>
      <c r="AN69" s="23"/>
      <c r="AO69" s="26" t="s">
        <v>78</v>
      </c>
      <c r="AP69" s="23"/>
      <c r="AQ69" s="26" t="s">
        <v>78</v>
      </c>
      <c r="AR69" s="23"/>
      <c r="AS69" s="26" t="s">
        <v>78</v>
      </c>
      <c r="AT69" s="17"/>
      <c r="AU69" s="26" t="s">
        <v>78</v>
      </c>
      <c r="AV69" s="17"/>
      <c r="AW69" s="17"/>
      <c r="AX69" s="16" t="s">
        <v>128</v>
      </c>
    </row>
    <row r="70" spans="2:50" ht="10.5" customHeight="1">
      <c r="B70" s="42">
        <v>8</v>
      </c>
      <c r="C70" s="42"/>
      <c r="D70" s="16" t="s">
        <v>114</v>
      </c>
      <c r="E70" s="17" t="s">
        <v>78</v>
      </c>
      <c r="F70" s="23"/>
      <c r="G70" s="17" t="s">
        <v>78</v>
      </c>
      <c r="H70" s="16"/>
      <c r="I70" s="16">
        <v>58</v>
      </c>
      <c r="J70" s="16"/>
      <c r="K70" s="16">
        <v>58</v>
      </c>
      <c r="L70" s="16"/>
      <c r="M70" s="16">
        <v>56</v>
      </c>
      <c r="N70" s="16"/>
      <c r="O70" s="16">
        <v>56</v>
      </c>
      <c r="P70" s="16"/>
      <c r="Q70" s="16">
        <v>53</v>
      </c>
      <c r="R70" s="16"/>
      <c r="S70" s="17">
        <v>51</v>
      </c>
      <c r="T70" s="16"/>
      <c r="U70" s="16">
        <v>50</v>
      </c>
      <c r="V70" s="16"/>
      <c r="W70" s="16">
        <v>61</v>
      </c>
      <c r="X70" s="16"/>
      <c r="Y70" s="16">
        <v>64</v>
      </c>
      <c r="Z70" s="23"/>
      <c r="AA70" s="16">
        <v>80</v>
      </c>
      <c r="AB70" s="23"/>
      <c r="AC70" s="16">
        <v>85</v>
      </c>
      <c r="AD70" s="23"/>
      <c r="AE70" s="16">
        <v>89</v>
      </c>
      <c r="AF70" s="23"/>
      <c r="AG70" s="28">
        <v>98</v>
      </c>
      <c r="AH70" s="23"/>
      <c r="AI70" s="16">
        <v>100</v>
      </c>
      <c r="AJ70" s="23"/>
      <c r="AK70" s="26" t="s">
        <v>78</v>
      </c>
      <c r="AL70" s="23"/>
      <c r="AM70" s="26" t="s">
        <v>78</v>
      </c>
      <c r="AN70" s="23"/>
      <c r="AO70" s="26" t="s">
        <v>78</v>
      </c>
      <c r="AP70" s="23"/>
      <c r="AQ70" s="26" t="s">
        <v>78</v>
      </c>
      <c r="AR70" s="23"/>
      <c r="AS70" s="26" t="s">
        <v>78</v>
      </c>
      <c r="AT70" s="17"/>
      <c r="AU70" s="26" t="s">
        <v>78</v>
      </c>
      <c r="AV70" s="17"/>
      <c r="AW70" s="17"/>
      <c r="AX70" s="16" t="s">
        <v>129</v>
      </c>
    </row>
    <row r="71" spans="2:50" ht="10.5" customHeight="1">
      <c r="B71" s="42">
        <v>9</v>
      </c>
      <c r="C71" s="42"/>
      <c r="D71" s="18" t="s">
        <v>68</v>
      </c>
      <c r="E71" s="18">
        <v>55</v>
      </c>
      <c r="F71" s="18"/>
      <c r="G71" s="18">
        <v>55</v>
      </c>
      <c r="H71" s="18"/>
      <c r="I71" s="18">
        <v>70</v>
      </c>
      <c r="J71" s="18"/>
      <c r="K71" s="18">
        <v>67</v>
      </c>
      <c r="L71" s="18"/>
      <c r="M71" s="18">
        <v>71</v>
      </c>
      <c r="N71" s="18"/>
      <c r="O71" s="18">
        <v>71</v>
      </c>
      <c r="P71" s="18"/>
      <c r="Q71" s="18">
        <v>69</v>
      </c>
      <c r="R71" s="18"/>
      <c r="S71" s="66">
        <v>67</v>
      </c>
      <c r="T71" s="18"/>
      <c r="U71" s="18">
        <v>64</v>
      </c>
      <c r="V71" s="18"/>
      <c r="W71" s="18">
        <v>79</v>
      </c>
      <c r="X71" s="18"/>
      <c r="Y71" s="18">
        <v>80</v>
      </c>
      <c r="Z71" s="67"/>
      <c r="AA71" s="18">
        <v>102</v>
      </c>
      <c r="AB71" s="67"/>
      <c r="AC71" s="18">
        <v>108</v>
      </c>
      <c r="AD71" s="67"/>
      <c r="AE71" s="18">
        <v>119</v>
      </c>
      <c r="AF71" s="67"/>
      <c r="AG71" s="18">
        <v>128</v>
      </c>
      <c r="AH71" s="67"/>
      <c r="AI71" s="18">
        <v>135</v>
      </c>
      <c r="AJ71" s="67"/>
      <c r="AK71" s="26" t="s">
        <v>78</v>
      </c>
      <c r="AL71" s="67"/>
      <c r="AM71" s="26" t="s">
        <v>78</v>
      </c>
      <c r="AN71" s="67"/>
      <c r="AO71" s="26" t="s">
        <v>78</v>
      </c>
      <c r="AP71" s="67"/>
      <c r="AQ71" s="26" t="s">
        <v>78</v>
      </c>
      <c r="AR71" s="67"/>
      <c r="AS71" s="26" t="s">
        <v>78</v>
      </c>
      <c r="AT71" s="17"/>
      <c r="AU71" s="26" t="s">
        <v>78</v>
      </c>
      <c r="AV71" s="17"/>
      <c r="AW71" s="17"/>
      <c r="AX71" s="18" t="s">
        <v>274</v>
      </c>
    </row>
    <row r="72" spans="2:50" ht="4.5" customHeight="1">
      <c r="B72" s="80"/>
      <c r="C72" s="80"/>
      <c r="D72" s="46"/>
      <c r="E72" s="14"/>
      <c r="F72" s="107"/>
      <c r="G72" s="14"/>
      <c r="H72" s="107"/>
      <c r="I72" s="14"/>
      <c r="J72" s="107"/>
      <c r="K72" s="14"/>
      <c r="L72" s="107"/>
      <c r="M72" s="14"/>
      <c r="N72" s="107"/>
      <c r="O72" s="14"/>
      <c r="P72" s="107"/>
      <c r="Q72" s="14"/>
      <c r="R72" s="107"/>
      <c r="S72" s="14"/>
      <c r="T72" s="107"/>
      <c r="U72" s="14"/>
      <c r="V72" s="107"/>
      <c r="W72" s="14"/>
      <c r="X72" s="107"/>
      <c r="Y72" s="14"/>
      <c r="Z72" s="107"/>
      <c r="AA72" s="14"/>
      <c r="AB72" s="107"/>
      <c r="AC72" s="107"/>
      <c r="AD72" s="107"/>
      <c r="AE72" s="14"/>
      <c r="AF72" s="107"/>
      <c r="AG72" s="14"/>
      <c r="AH72" s="107"/>
      <c r="AI72" s="14"/>
      <c r="AJ72" s="107"/>
      <c r="AK72" s="14"/>
      <c r="AL72" s="107"/>
      <c r="AM72" s="14"/>
      <c r="AN72" s="107"/>
      <c r="AO72" s="14"/>
      <c r="AP72" s="107"/>
      <c r="AQ72" s="14"/>
      <c r="AR72" s="107"/>
      <c r="AS72" s="14"/>
      <c r="AT72" s="14"/>
      <c r="AU72" s="14"/>
      <c r="AV72" s="14"/>
      <c r="AW72" s="14"/>
      <c r="AX72" s="46"/>
    </row>
    <row r="73" spans="2:50">
      <c r="B73" s="52"/>
    </row>
    <row r="78" spans="2:50">
      <c r="B78" s="150"/>
    </row>
  </sheetData>
  <mergeCells count="18">
    <mergeCell ref="B15:D15"/>
    <mergeCell ref="AA36:AB36"/>
    <mergeCell ref="S36:T36"/>
    <mergeCell ref="U36:V36"/>
    <mergeCell ref="W36:X36"/>
    <mergeCell ref="Y36:Z36"/>
    <mergeCell ref="E36:F36"/>
    <mergeCell ref="G36:H36"/>
    <mergeCell ref="I36:J36"/>
    <mergeCell ref="K36:L36"/>
    <mergeCell ref="M36:N36"/>
    <mergeCell ref="O36:P36"/>
    <mergeCell ref="Q36:R36"/>
    <mergeCell ref="AQ36:AR36"/>
    <mergeCell ref="B53:D53"/>
    <mergeCell ref="B36:D36"/>
    <mergeCell ref="AO36:AP36"/>
    <mergeCell ref="AM36:AN36"/>
  </mergeCells>
  <printOptions horizontalCentered="1"/>
  <pageMargins left="0" right="0" top="0" bottom="0" header="0" footer="0"/>
  <pageSetup paperSize="9" scale="88"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X71"/>
  <sheetViews>
    <sheetView workbookViewId="0"/>
  </sheetViews>
  <sheetFormatPr defaultColWidth="9.109375" defaultRowHeight="13.8" outlineLevelCol="1"/>
  <cols>
    <col min="1" max="1" width="1.33203125" style="11" customWidth="1"/>
    <col min="2" max="2" width="2.6640625" style="11" customWidth="1"/>
    <col min="3" max="3" width="0.88671875" style="11" customWidth="1"/>
    <col min="4" max="4" width="31.33203125" style="11" customWidth="1"/>
    <col min="5" max="5" width="5.6640625" style="11" hidden="1" customWidth="1" outlineLevel="1"/>
    <col min="6" max="6" width="1.33203125" style="11" hidden="1" customWidth="1" outlineLevel="1"/>
    <col min="7" max="7" width="5.6640625" style="11" hidden="1" customWidth="1" outlineLevel="1"/>
    <col min="8" max="8" width="1.33203125" style="11" hidden="1" customWidth="1" outlineLevel="1"/>
    <col min="9" max="9" width="5.6640625" style="11" hidden="1" customWidth="1" outlineLevel="1"/>
    <col min="10" max="10" width="1.33203125" style="11" hidden="1" customWidth="1" outlineLevel="1"/>
    <col min="11" max="11" width="5.6640625" style="11" hidden="1" customWidth="1" outlineLevel="1"/>
    <col min="12" max="12" width="1.33203125" style="11" hidden="1" customWidth="1" outlineLevel="1"/>
    <col min="13" max="13" width="5.6640625" style="11" hidden="1" customWidth="1" outlineLevel="1"/>
    <col min="14" max="14" width="1.33203125" style="11" hidden="1" customWidth="1" outlineLevel="1"/>
    <col min="15" max="15" width="5.6640625" style="11" hidden="1" customWidth="1" outlineLevel="1"/>
    <col min="16" max="16" width="1.33203125" style="11" hidden="1" customWidth="1" outlineLevel="1"/>
    <col min="17" max="17" width="5.6640625" style="11" hidden="1" customWidth="1" outlineLevel="1"/>
    <col min="18" max="18" width="1.33203125" style="11" hidden="1" customWidth="1" outlineLevel="1"/>
    <col min="19" max="19" width="5.33203125" style="11" hidden="1" customWidth="1" outlineLevel="1"/>
    <col min="20" max="20" width="1.33203125" style="11" hidden="1" customWidth="1" outlineLevel="1"/>
    <col min="21" max="21" width="5.33203125" style="11" hidden="1" customWidth="1" outlineLevel="1"/>
    <col min="22" max="22" width="1.33203125" style="11" hidden="1" customWidth="1" outlineLevel="1"/>
    <col min="23" max="23" width="5.33203125" style="11" hidden="1" customWidth="1" outlineLevel="1"/>
    <col min="24" max="24" width="1.33203125" style="11" hidden="1" customWidth="1" outlineLevel="1"/>
    <col min="25" max="25" width="5.33203125" style="11" hidden="1" customWidth="1" outlineLevel="1"/>
    <col min="26" max="26" width="1.33203125" style="11" hidden="1" customWidth="1" outlineLevel="1"/>
    <col min="27" max="27" width="5.109375" style="11" hidden="1" customWidth="1" outlineLevel="1"/>
    <col min="28" max="28" width="1.6640625" style="11" hidden="1" customWidth="1" outlineLevel="1"/>
    <col min="29" max="29" width="5.109375" style="11" hidden="1" customWidth="1" outlineLevel="1"/>
    <col min="30" max="30" width="1.6640625" style="11" hidden="1" customWidth="1" outlineLevel="1"/>
    <col min="31" max="31" width="5.109375" style="11" hidden="1" customWidth="1" outlineLevel="1"/>
    <col min="32" max="32" width="1.6640625" style="11" hidden="1" customWidth="1" outlineLevel="1"/>
    <col min="33" max="33" width="5.109375" style="11" hidden="1" customWidth="1" outlineLevel="1"/>
    <col min="34" max="34" width="1.6640625" style="11" hidden="1" customWidth="1" outlineLevel="1"/>
    <col min="35" max="35" width="5.109375" style="11" hidden="1" customWidth="1" outlineLevel="1"/>
    <col min="36" max="36" width="1.6640625" style="11" hidden="1" customWidth="1" outlineLevel="1"/>
    <col min="37" max="37" width="5.109375" style="11" customWidth="1" collapsed="1"/>
    <col min="38" max="38" width="1.6640625" style="11" customWidth="1"/>
    <col min="39" max="39" width="5.109375" style="11" customWidth="1"/>
    <col min="40" max="40" width="1.6640625" style="11" customWidth="1"/>
    <col min="41" max="41" width="5.109375" style="11" customWidth="1"/>
    <col min="42" max="42" width="1.6640625" style="11" customWidth="1"/>
    <col min="43" max="43" width="5.109375" style="11" customWidth="1"/>
    <col min="44" max="44" width="1.6640625" style="11" customWidth="1"/>
    <col min="45" max="45" width="5" style="11" customWidth="1"/>
    <col min="46" max="46" width="1.88671875" style="11" customWidth="1"/>
    <col min="47" max="47" width="5" style="11" customWidth="1"/>
    <col min="48" max="48" width="1.88671875" style="11" customWidth="1"/>
    <col min="49" max="49" width="0.88671875" style="11" customWidth="1"/>
    <col min="50" max="50" width="37" style="11" customWidth="1"/>
    <col min="51" max="16384" width="9.109375" style="11"/>
  </cols>
  <sheetData>
    <row r="1" spans="2:50">
      <c r="B1" s="10" t="s">
        <v>1434</v>
      </c>
      <c r="C1" s="10"/>
      <c r="D1" s="2"/>
      <c r="E1" s="2"/>
      <c r="F1" s="2"/>
      <c r="G1" s="2"/>
      <c r="H1" s="2"/>
      <c r="I1" s="2"/>
      <c r="J1" s="2"/>
      <c r="K1" s="2"/>
      <c r="L1" s="2"/>
      <c r="M1" s="2"/>
      <c r="N1" s="2"/>
      <c r="O1" s="2"/>
      <c r="P1" s="2"/>
      <c r="Q1" s="2"/>
      <c r="R1" s="2"/>
    </row>
    <row r="2" spans="2:50">
      <c r="B2" s="156" t="s">
        <v>1435</v>
      </c>
      <c r="E2" s="10"/>
      <c r="F2" s="10"/>
      <c r="G2" s="10"/>
      <c r="H2" s="10"/>
      <c r="I2" s="10"/>
      <c r="J2" s="10"/>
      <c r="K2" s="10"/>
      <c r="L2" s="10"/>
      <c r="M2" s="10"/>
      <c r="N2" s="10"/>
      <c r="O2" s="10"/>
      <c r="P2" s="10"/>
      <c r="Q2" s="10"/>
      <c r="R2" s="10"/>
    </row>
    <row r="3" spans="2:50" ht="5.25" customHeight="1">
      <c r="B3" s="13"/>
      <c r="C3" s="13"/>
      <c r="D3" s="62"/>
      <c r="E3" s="62"/>
      <c r="F3" s="62"/>
      <c r="G3" s="62"/>
      <c r="H3" s="62"/>
      <c r="I3" s="62"/>
      <c r="J3" s="62"/>
      <c r="K3" s="62"/>
      <c r="L3" s="62"/>
      <c r="M3" s="62"/>
      <c r="N3" s="62"/>
      <c r="O3" s="62"/>
      <c r="P3" s="62"/>
      <c r="Q3" s="62"/>
      <c r="R3" s="62"/>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row>
    <row r="4" spans="2:50" ht="6" customHeight="1">
      <c r="D4" s="10"/>
      <c r="E4" s="10"/>
      <c r="F4" s="10"/>
      <c r="G4" s="10"/>
      <c r="H4" s="10"/>
      <c r="I4" s="10"/>
      <c r="J4" s="10"/>
      <c r="K4" s="10"/>
      <c r="L4" s="10"/>
      <c r="M4" s="10"/>
      <c r="N4" s="10"/>
      <c r="O4" s="10"/>
      <c r="P4" s="10"/>
      <c r="Q4" s="10"/>
      <c r="R4" s="10"/>
    </row>
    <row r="5" spans="2:50">
      <c r="D5" s="2" t="s">
        <v>289</v>
      </c>
      <c r="E5" s="2"/>
      <c r="F5" s="2"/>
      <c r="G5" s="2"/>
      <c r="H5" s="2"/>
      <c r="I5" s="2"/>
      <c r="J5" s="2"/>
      <c r="K5" s="2"/>
      <c r="L5" s="2"/>
      <c r="M5" s="2"/>
      <c r="N5" s="2"/>
      <c r="O5" s="2"/>
      <c r="P5" s="2"/>
      <c r="Q5" s="2"/>
      <c r="R5" s="2"/>
      <c r="AX5" s="2" t="s">
        <v>290</v>
      </c>
    </row>
    <row r="6" spans="2:50">
      <c r="B6" s="13"/>
      <c r="C6" s="13"/>
      <c r="D6" s="4"/>
      <c r="E6" s="4"/>
      <c r="F6" s="4"/>
      <c r="G6" s="4"/>
      <c r="H6" s="4"/>
      <c r="I6" s="4"/>
      <c r="J6" s="4"/>
      <c r="K6" s="4"/>
      <c r="L6" s="4"/>
      <c r="M6" s="4"/>
      <c r="N6" s="4"/>
      <c r="O6" s="4"/>
      <c r="P6" s="4"/>
      <c r="Q6" s="4"/>
      <c r="R6" s="4"/>
      <c r="S6" s="13"/>
      <c r="T6" s="13"/>
      <c r="U6" s="13"/>
      <c r="V6" s="13"/>
      <c r="W6" s="4"/>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row>
    <row r="7" spans="2:50" ht="6" customHeight="1">
      <c r="B7" s="2"/>
      <c r="C7" s="2"/>
      <c r="D7" s="2"/>
      <c r="E7" s="2"/>
      <c r="F7" s="2"/>
      <c r="G7" s="2"/>
      <c r="H7" s="2"/>
      <c r="I7" s="2"/>
      <c r="J7" s="2"/>
      <c r="K7" s="2"/>
      <c r="L7" s="2"/>
      <c r="M7" s="2"/>
      <c r="N7" s="2"/>
      <c r="O7" s="2"/>
      <c r="P7" s="2"/>
      <c r="Q7" s="2"/>
      <c r="R7" s="2"/>
    </row>
    <row r="8" spans="2:50" ht="14.25" customHeight="1">
      <c r="B8" s="523" t="s">
        <v>218</v>
      </c>
      <c r="C8" s="523"/>
      <c r="D8" s="523"/>
      <c r="E8" s="281">
        <v>2000</v>
      </c>
      <c r="F8" s="404"/>
      <c r="G8" s="281">
        <v>2001</v>
      </c>
      <c r="H8" s="404"/>
      <c r="I8" s="281">
        <v>2002</v>
      </c>
      <c r="J8" s="404"/>
      <c r="K8" s="281">
        <v>2003</v>
      </c>
      <c r="L8" s="404"/>
      <c r="M8" s="281">
        <v>2004</v>
      </c>
      <c r="N8" s="404"/>
      <c r="O8" s="281">
        <v>2005</v>
      </c>
      <c r="P8" s="404"/>
      <c r="Q8" s="281">
        <v>2006</v>
      </c>
      <c r="R8" s="404"/>
      <c r="S8" s="281">
        <v>2007</v>
      </c>
      <c r="T8" s="404"/>
      <c r="U8" s="281">
        <v>2008</v>
      </c>
      <c r="V8" s="404"/>
      <c r="W8" s="281">
        <v>2009</v>
      </c>
      <c r="X8" s="404"/>
      <c r="Y8" s="281">
        <v>2010</v>
      </c>
      <c r="Z8" s="404"/>
      <c r="AA8" s="281">
        <v>2011</v>
      </c>
      <c r="AB8" s="404"/>
      <c r="AC8" s="281">
        <v>2012</v>
      </c>
      <c r="AD8" s="404"/>
      <c r="AE8" s="281">
        <v>2013</v>
      </c>
      <c r="AF8" s="281"/>
      <c r="AG8" s="281">
        <v>2014</v>
      </c>
      <c r="AH8" s="281"/>
      <c r="AI8" s="281">
        <v>2015</v>
      </c>
      <c r="AJ8" s="281"/>
      <c r="AK8" s="281">
        <v>2016</v>
      </c>
      <c r="AL8" s="281"/>
      <c r="AM8" s="281">
        <v>2017</v>
      </c>
      <c r="AN8" s="404"/>
      <c r="AO8" s="281">
        <v>2018</v>
      </c>
      <c r="AP8" s="404"/>
      <c r="AQ8" s="281">
        <v>2019</v>
      </c>
      <c r="AR8" s="404"/>
      <c r="AS8" s="281">
        <v>2020</v>
      </c>
      <c r="AT8" s="404"/>
      <c r="AU8" s="281">
        <v>2021</v>
      </c>
      <c r="AV8" s="281"/>
      <c r="AX8" s="283" t="s">
        <v>219</v>
      </c>
    </row>
    <row r="9" spans="2:50" ht="6" customHeight="1">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row>
    <row r="10" spans="2:50">
      <c r="B10" s="42"/>
      <c r="C10" s="42"/>
      <c r="D10" s="63" t="s">
        <v>220</v>
      </c>
      <c r="E10" s="64"/>
      <c r="F10" s="27"/>
      <c r="G10" s="64"/>
      <c r="H10" s="27"/>
      <c r="I10" s="64"/>
      <c r="J10" s="27"/>
      <c r="K10" s="64"/>
      <c r="L10" s="27"/>
      <c r="M10" s="64"/>
      <c r="N10" s="27"/>
      <c r="O10" s="64"/>
      <c r="P10" s="27"/>
      <c r="Q10" s="64"/>
      <c r="R10" s="27"/>
      <c r="S10" s="64"/>
      <c r="T10" s="27"/>
      <c r="U10" s="64"/>
      <c r="V10" s="27"/>
      <c r="W10" s="64"/>
      <c r="X10" s="27"/>
      <c r="Y10" s="64"/>
      <c r="Z10" s="27"/>
      <c r="AA10" s="64"/>
      <c r="AB10" s="27"/>
      <c r="AC10" s="64"/>
      <c r="AD10" s="27"/>
      <c r="AE10" s="64"/>
      <c r="AF10" s="27"/>
      <c r="AG10" s="64"/>
      <c r="AH10" s="27"/>
      <c r="AI10" s="64"/>
      <c r="AJ10" s="27"/>
      <c r="AK10" s="64"/>
      <c r="AL10" s="27"/>
      <c r="AM10" s="64"/>
      <c r="AN10" s="27"/>
      <c r="AO10" s="64"/>
      <c r="AP10" s="27"/>
      <c r="AQ10" s="64"/>
      <c r="AR10" s="27"/>
      <c r="AS10" s="17"/>
      <c r="AT10" s="17"/>
      <c r="AU10" s="17"/>
      <c r="AV10" s="17"/>
      <c r="AW10" s="17"/>
      <c r="AX10" s="63" t="s">
        <v>221</v>
      </c>
    </row>
    <row r="11" spans="2:50" ht="10.5" customHeight="1">
      <c r="B11" s="42">
        <v>1</v>
      </c>
      <c r="C11" s="42"/>
      <c r="D11" s="16" t="s">
        <v>222</v>
      </c>
      <c r="E11" s="17" t="s">
        <v>78</v>
      </c>
      <c r="F11" s="17"/>
      <c r="G11" s="17" t="s">
        <v>78</v>
      </c>
      <c r="H11" s="68"/>
      <c r="I11" s="75">
        <v>276</v>
      </c>
      <c r="J11" s="68"/>
      <c r="K11" s="75">
        <v>276</v>
      </c>
      <c r="L11" s="68"/>
      <c r="M11" s="75">
        <v>276</v>
      </c>
      <c r="N11" s="68"/>
      <c r="O11" s="75">
        <v>276</v>
      </c>
      <c r="P11" s="68"/>
      <c r="Q11" s="75">
        <v>276</v>
      </c>
      <c r="R11" s="68"/>
      <c r="S11" s="75">
        <v>276</v>
      </c>
      <c r="T11" s="68"/>
      <c r="U11" s="75">
        <v>276</v>
      </c>
      <c r="V11" s="68"/>
      <c r="W11" s="75">
        <v>276</v>
      </c>
      <c r="X11" s="68"/>
      <c r="Y11" s="75">
        <v>276</v>
      </c>
      <c r="Z11" s="68"/>
      <c r="AA11" s="28">
        <v>276</v>
      </c>
      <c r="AB11" s="68"/>
      <c r="AC11" s="28">
        <v>276</v>
      </c>
      <c r="AD11" s="68"/>
      <c r="AE11" s="28">
        <v>276</v>
      </c>
      <c r="AF11" s="68"/>
      <c r="AG11" s="28">
        <v>276</v>
      </c>
      <c r="AH11" s="68"/>
      <c r="AI11" s="28">
        <v>276</v>
      </c>
      <c r="AJ11" s="68"/>
      <c r="AK11" s="28">
        <v>276</v>
      </c>
      <c r="AL11" s="68"/>
      <c r="AM11" s="28">
        <v>276</v>
      </c>
      <c r="AN11" s="68"/>
      <c r="AO11" s="28">
        <v>276</v>
      </c>
      <c r="AP11" s="28"/>
      <c r="AQ11" s="28">
        <v>276</v>
      </c>
      <c r="AR11" s="68"/>
      <c r="AS11" s="28">
        <v>276</v>
      </c>
      <c r="AT11" s="17"/>
      <c r="AU11" s="17">
        <v>276</v>
      </c>
      <c r="AV11" s="17"/>
      <c r="AW11" s="17"/>
      <c r="AX11" s="16" t="s">
        <v>223</v>
      </c>
    </row>
    <row r="12" spans="2:50" ht="6" customHeight="1">
      <c r="B12" s="34"/>
      <c r="C12" s="34"/>
      <c r="D12" s="70"/>
      <c r="E12" s="73"/>
      <c r="F12" s="74"/>
      <c r="G12" s="73"/>
      <c r="H12" s="74"/>
      <c r="I12" s="73"/>
      <c r="J12" s="74"/>
      <c r="K12" s="73"/>
      <c r="L12" s="74"/>
      <c r="M12" s="73"/>
      <c r="N12" s="74"/>
      <c r="O12" s="73"/>
      <c r="P12" s="74"/>
      <c r="Q12" s="73"/>
      <c r="R12" s="74"/>
      <c r="S12" s="73"/>
      <c r="T12" s="74"/>
      <c r="U12" s="73"/>
      <c r="V12" s="74"/>
      <c r="W12" s="73"/>
      <c r="X12" s="74"/>
      <c r="Y12" s="73"/>
      <c r="Z12" s="74"/>
      <c r="AA12" s="71"/>
      <c r="AB12" s="74"/>
      <c r="AC12" s="71"/>
      <c r="AD12" s="74"/>
      <c r="AE12" s="71"/>
      <c r="AF12" s="74"/>
      <c r="AG12" s="71"/>
      <c r="AH12" s="74"/>
      <c r="AI12" s="71"/>
      <c r="AJ12" s="74"/>
      <c r="AK12" s="71"/>
      <c r="AL12" s="74"/>
      <c r="AM12" s="71"/>
      <c r="AN12" s="74"/>
      <c r="AO12" s="71"/>
      <c r="AP12" s="74"/>
      <c r="AQ12" s="71"/>
      <c r="AR12" s="74"/>
      <c r="AS12" s="71"/>
      <c r="AT12" s="41"/>
      <c r="AU12" s="41"/>
      <c r="AV12" s="41"/>
      <c r="AW12" s="41"/>
      <c r="AX12" s="70"/>
    </row>
    <row r="13" spans="2:50" ht="6" customHeight="1">
      <c r="B13" s="42"/>
      <c r="C13" s="42"/>
      <c r="D13" s="53"/>
      <c r="E13" s="75"/>
      <c r="F13" s="68"/>
      <c r="G13" s="75"/>
      <c r="H13" s="68"/>
      <c r="I13" s="75"/>
      <c r="J13" s="68"/>
      <c r="K13" s="75"/>
      <c r="L13" s="68"/>
      <c r="M13" s="75"/>
      <c r="N13" s="68"/>
      <c r="O13" s="75"/>
      <c r="P13" s="68"/>
      <c r="Q13" s="75"/>
      <c r="R13" s="68"/>
      <c r="S13" s="75"/>
      <c r="T13" s="68"/>
      <c r="U13" s="75"/>
      <c r="V13" s="68"/>
      <c r="W13" s="75"/>
      <c r="X13" s="68"/>
      <c r="Y13" s="75"/>
      <c r="Z13" s="68"/>
      <c r="AA13" s="28"/>
      <c r="AB13" s="68"/>
      <c r="AC13" s="28"/>
      <c r="AD13" s="68"/>
      <c r="AE13" s="28"/>
      <c r="AF13" s="68"/>
      <c r="AG13" s="28"/>
      <c r="AH13" s="68"/>
      <c r="AI13" s="28"/>
      <c r="AJ13" s="68"/>
      <c r="AK13" s="28"/>
      <c r="AL13" s="68"/>
      <c r="AM13" s="28"/>
      <c r="AN13" s="68"/>
      <c r="AO13" s="28"/>
      <c r="AP13" s="68"/>
      <c r="AQ13" s="28"/>
      <c r="AR13" s="68"/>
      <c r="AS13" s="28"/>
      <c r="AT13" s="17"/>
      <c r="AU13" s="17"/>
      <c r="AV13" s="17"/>
      <c r="AW13" s="17"/>
      <c r="AX13" s="53"/>
    </row>
    <row r="14" spans="2:50" ht="10.5" customHeight="1">
      <c r="B14" s="42"/>
      <c r="C14" s="42"/>
      <c r="D14" s="63" t="s">
        <v>224</v>
      </c>
      <c r="E14" s="75"/>
      <c r="F14" s="68"/>
      <c r="G14" s="75"/>
      <c r="H14" s="68"/>
      <c r="I14" s="75"/>
      <c r="J14" s="68"/>
      <c r="K14" s="75"/>
      <c r="L14" s="68"/>
      <c r="M14" s="75"/>
      <c r="N14" s="68"/>
      <c r="O14" s="75"/>
      <c r="P14" s="68"/>
      <c r="Q14" s="75"/>
      <c r="R14" s="68"/>
      <c r="S14" s="75"/>
      <c r="T14" s="68"/>
      <c r="U14" s="75"/>
      <c r="V14" s="68"/>
      <c r="W14" s="75"/>
      <c r="X14" s="68"/>
      <c r="Y14" s="75"/>
      <c r="Z14" s="68"/>
      <c r="AA14" s="28"/>
      <c r="AB14" s="68"/>
      <c r="AC14" s="28"/>
      <c r="AD14" s="68"/>
      <c r="AE14" s="28"/>
      <c r="AF14" s="68"/>
      <c r="AG14" s="28"/>
      <c r="AH14" s="68"/>
      <c r="AI14" s="28"/>
      <c r="AJ14" s="68"/>
      <c r="AK14" s="28"/>
      <c r="AL14" s="68"/>
      <c r="AM14" s="28"/>
      <c r="AN14" s="68"/>
      <c r="AO14" s="28"/>
      <c r="AP14" s="68"/>
      <c r="AQ14" s="28"/>
      <c r="AR14" s="68"/>
      <c r="AS14" s="28"/>
      <c r="AT14" s="17"/>
      <c r="AU14" s="17"/>
      <c r="AV14" s="17"/>
      <c r="AW14" s="17"/>
      <c r="AX14" s="63" t="s">
        <v>225</v>
      </c>
    </row>
    <row r="15" spans="2:50" ht="10.5" customHeight="1">
      <c r="B15" s="42">
        <v>2</v>
      </c>
      <c r="C15" s="42"/>
      <c r="D15" s="16" t="s">
        <v>226</v>
      </c>
      <c r="E15" s="75" t="s">
        <v>77</v>
      </c>
      <c r="F15" s="68"/>
      <c r="G15" s="75" t="s">
        <v>77</v>
      </c>
      <c r="H15" s="68"/>
      <c r="I15" s="75" t="s">
        <v>77</v>
      </c>
      <c r="J15" s="68"/>
      <c r="K15" s="75" t="s">
        <v>77</v>
      </c>
      <c r="L15" s="68"/>
      <c r="M15" s="75" t="s">
        <v>77</v>
      </c>
      <c r="N15" s="68"/>
      <c r="O15" s="75" t="s">
        <v>77</v>
      </c>
      <c r="P15" s="68"/>
      <c r="Q15" s="75" t="s">
        <v>77</v>
      </c>
      <c r="R15" s="68"/>
      <c r="S15" s="75" t="s">
        <v>77</v>
      </c>
      <c r="T15" s="68"/>
      <c r="U15" s="75" t="s">
        <v>77</v>
      </c>
      <c r="V15" s="68"/>
      <c r="W15" s="75" t="s">
        <v>77</v>
      </c>
      <c r="X15" s="68"/>
      <c r="Y15" s="75" t="s">
        <v>77</v>
      </c>
      <c r="Z15" s="68"/>
      <c r="AA15" s="75" t="s">
        <v>77</v>
      </c>
      <c r="AB15" s="68"/>
      <c r="AC15" s="75" t="s">
        <v>77</v>
      </c>
      <c r="AD15" s="68"/>
      <c r="AE15" s="75" t="s">
        <v>77</v>
      </c>
      <c r="AF15" s="68"/>
      <c r="AG15" s="75" t="s">
        <v>77</v>
      </c>
      <c r="AH15" s="68"/>
      <c r="AI15" s="75" t="s">
        <v>77</v>
      </c>
      <c r="AJ15" s="68"/>
      <c r="AK15" s="75" t="s">
        <v>77</v>
      </c>
      <c r="AL15" s="68"/>
      <c r="AM15" s="75" t="s">
        <v>77</v>
      </c>
      <c r="AN15" s="68"/>
      <c r="AO15" s="75" t="s">
        <v>77</v>
      </c>
      <c r="AP15" s="68"/>
      <c r="AQ15" s="75" t="s">
        <v>77</v>
      </c>
      <c r="AR15" s="68"/>
      <c r="AS15" s="75" t="s">
        <v>77</v>
      </c>
      <c r="AT15" s="17"/>
      <c r="AU15" s="75" t="s">
        <v>77</v>
      </c>
      <c r="AV15" s="17"/>
      <c r="AW15" s="17"/>
      <c r="AX15" s="16" t="s">
        <v>227</v>
      </c>
    </row>
    <row r="16" spans="2:50" ht="10.5" customHeight="1">
      <c r="B16" s="42">
        <v>3</v>
      </c>
      <c r="C16" s="42"/>
      <c r="D16" s="16" t="s">
        <v>230</v>
      </c>
      <c r="E16" s="75">
        <v>108</v>
      </c>
      <c r="F16" s="68"/>
      <c r="G16" s="75">
        <v>108</v>
      </c>
      <c r="H16" s="68"/>
      <c r="I16" s="75">
        <v>109</v>
      </c>
      <c r="J16" s="68"/>
      <c r="K16" s="75">
        <v>109</v>
      </c>
      <c r="L16" s="68"/>
      <c r="M16" s="75">
        <v>109</v>
      </c>
      <c r="N16" s="68"/>
      <c r="O16" s="75">
        <v>109</v>
      </c>
      <c r="P16" s="68"/>
      <c r="Q16" s="75">
        <v>109</v>
      </c>
      <c r="R16" s="68"/>
      <c r="S16" s="75">
        <v>109</v>
      </c>
      <c r="T16" s="68"/>
      <c r="U16" s="75">
        <v>109</v>
      </c>
      <c r="V16" s="68"/>
      <c r="W16" s="75">
        <v>109</v>
      </c>
      <c r="X16" s="68"/>
      <c r="Y16" s="75">
        <v>109</v>
      </c>
      <c r="Z16" s="68"/>
      <c r="AA16" s="28">
        <v>109</v>
      </c>
      <c r="AB16" s="68"/>
      <c r="AC16" s="28">
        <v>109</v>
      </c>
      <c r="AD16" s="68"/>
      <c r="AE16" s="28">
        <v>109</v>
      </c>
      <c r="AF16" s="68"/>
      <c r="AG16" s="28">
        <v>109</v>
      </c>
      <c r="AH16" s="68"/>
      <c r="AI16" s="28">
        <v>109</v>
      </c>
      <c r="AJ16" s="68"/>
      <c r="AK16" s="28">
        <v>109</v>
      </c>
      <c r="AL16" s="68"/>
      <c r="AM16" s="28">
        <v>109</v>
      </c>
      <c r="AN16" s="68"/>
      <c r="AO16" s="28">
        <v>109</v>
      </c>
      <c r="AP16" s="68"/>
      <c r="AQ16" s="28">
        <v>109</v>
      </c>
      <c r="AR16" s="68"/>
      <c r="AS16" s="28">
        <v>109</v>
      </c>
      <c r="AT16" s="17"/>
      <c r="AU16" s="28">
        <v>109</v>
      </c>
      <c r="AV16" s="17"/>
      <c r="AW16" s="17"/>
      <c r="AX16" s="16" t="s">
        <v>90</v>
      </c>
    </row>
    <row r="17" spans="2:50" ht="10.5" customHeight="1">
      <c r="B17" s="42">
        <v>4</v>
      </c>
      <c r="C17" s="42"/>
      <c r="D17" s="18" t="s">
        <v>231</v>
      </c>
      <c r="E17" s="133">
        <v>108</v>
      </c>
      <c r="F17" s="76"/>
      <c r="G17" s="133">
        <v>108</v>
      </c>
      <c r="H17" s="76"/>
      <c r="I17" s="133">
        <v>109</v>
      </c>
      <c r="J17" s="76"/>
      <c r="K17" s="133">
        <v>109</v>
      </c>
      <c r="L17" s="76"/>
      <c r="M17" s="133">
        <v>109</v>
      </c>
      <c r="N17" s="76"/>
      <c r="O17" s="133">
        <v>109</v>
      </c>
      <c r="P17" s="76"/>
      <c r="Q17" s="133">
        <v>109</v>
      </c>
      <c r="R17" s="76"/>
      <c r="S17" s="133">
        <v>109</v>
      </c>
      <c r="T17" s="76"/>
      <c r="U17" s="133">
        <v>109</v>
      </c>
      <c r="V17" s="76"/>
      <c r="W17" s="133">
        <v>109</v>
      </c>
      <c r="X17" s="76"/>
      <c r="Y17" s="133">
        <v>109</v>
      </c>
      <c r="Z17" s="76"/>
      <c r="AA17" s="65">
        <v>109</v>
      </c>
      <c r="AB17" s="76"/>
      <c r="AC17" s="65">
        <v>109</v>
      </c>
      <c r="AD17" s="76"/>
      <c r="AE17" s="65">
        <v>109</v>
      </c>
      <c r="AF17" s="76"/>
      <c r="AG17" s="65">
        <v>109</v>
      </c>
      <c r="AH17" s="76"/>
      <c r="AI17" s="65">
        <v>109</v>
      </c>
      <c r="AJ17" s="68"/>
      <c r="AK17" s="65">
        <v>109</v>
      </c>
      <c r="AL17" s="68"/>
      <c r="AM17" s="65">
        <v>109</v>
      </c>
      <c r="AN17" s="68"/>
      <c r="AO17" s="65">
        <v>109</v>
      </c>
      <c r="AP17" s="68"/>
      <c r="AQ17" s="65">
        <v>109</v>
      </c>
      <c r="AR17" s="68"/>
      <c r="AS17" s="65">
        <v>109</v>
      </c>
      <c r="AT17" s="17"/>
      <c r="AU17" s="65">
        <v>109</v>
      </c>
      <c r="AV17" s="17"/>
      <c r="AW17" s="17"/>
      <c r="AX17" s="18" t="s">
        <v>84</v>
      </c>
    </row>
    <row r="18" spans="2:50" ht="6" customHeight="1">
      <c r="B18" s="34"/>
      <c r="C18" s="34"/>
      <c r="D18" s="70"/>
      <c r="E18" s="73"/>
      <c r="F18" s="74"/>
      <c r="G18" s="73"/>
      <c r="H18" s="74"/>
      <c r="I18" s="73"/>
      <c r="J18" s="74"/>
      <c r="K18" s="73"/>
      <c r="L18" s="74"/>
      <c r="M18" s="73"/>
      <c r="N18" s="74"/>
      <c r="O18" s="73"/>
      <c r="P18" s="74"/>
      <c r="Q18" s="73"/>
      <c r="R18" s="74"/>
      <c r="S18" s="73"/>
      <c r="T18" s="74"/>
      <c r="U18" s="73"/>
      <c r="V18" s="74"/>
      <c r="W18" s="73"/>
      <c r="X18" s="74"/>
      <c r="Y18" s="73"/>
      <c r="Z18" s="74"/>
      <c r="AA18" s="71"/>
      <c r="AB18" s="74"/>
      <c r="AC18" s="71"/>
      <c r="AD18" s="74"/>
      <c r="AE18" s="71"/>
      <c r="AF18" s="74"/>
      <c r="AG18" s="71"/>
      <c r="AH18" s="74"/>
      <c r="AI18" s="71"/>
      <c r="AJ18" s="74"/>
      <c r="AK18" s="71"/>
      <c r="AL18" s="74"/>
      <c r="AM18" s="71"/>
      <c r="AN18" s="74"/>
      <c r="AO18" s="71"/>
      <c r="AP18" s="74"/>
      <c r="AQ18" s="71"/>
      <c r="AR18" s="74"/>
      <c r="AS18" s="71"/>
      <c r="AT18" s="41"/>
      <c r="AU18" s="41"/>
      <c r="AV18" s="41"/>
      <c r="AW18" s="41"/>
      <c r="AX18" s="70"/>
    </row>
    <row r="19" spans="2:50" ht="6" customHeight="1">
      <c r="B19" s="42"/>
      <c r="C19" s="42"/>
      <c r="D19" s="16"/>
      <c r="E19" s="75"/>
      <c r="F19" s="68"/>
      <c r="G19" s="75"/>
      <c r="H19" s="68"/>
      <c r="I19" s="75"/>
      <c r="J19" s="68"/>
      <c r="K19" s="75"/>
      <c r="L19" s="68"/>
      <c r="M19" s="75"/>
      <c r="N19" s="68"/>
      <c r="O19" s="75"/>
      <c r="P19" s="68"/>
      <c r="Q19" s="75"/>
      <c r="R19" s="68"/>
      <c r="S19" s="75"/>
      <c r="T19" s="68"/>
      <c r="U19" s="75"/>
      <c r="V19" s="68"/>
      <c r="W19" s="75"/>
      <c r="X19" s="68"/>
      <c r="Y19" s="75"/>
      <c r="Z19" s="68"/>
      <c r="AA19" s="28"/>
      <c r="AB19" s="68"/>
      <c r="AC19" s="28"/>
      <c r="AD19" s="68"/>
      <c r="AE19" s="28"/>
      <c r="AF19" s="68"/>
      <c r="AG19" s="28"/>
      <c r="AH19" s="68"/>
      <c r="AI19" s="28"/>
      <c r="AJ19" s="68"/>
      <c r="AK19" s="28"/>
      <c r="AL19" s="68"/>
      <c r="AM19" s="28"/>
      <c r="AN19" s="68"/>
      <c r="AO19" s="28"/>
      <c r="AP19" s="68"/>
      <c r="AQ19" s="28"/>
      <c r="AR19" s="68"/>
      <c r="AS19" s="28"/>
      <c r="AT19" s="17"/>
      <c r="AU19" s="17"/>
      <c r="AV19" s="17"/>
      <c r="AW19" s="17"/>
      <c r="AX19" s="16"/>
    </row>
    <row r="20" spans="2:50" ht="10.5" customHeight="1">
      <c r="B20" s="42"/>
      <c r="C20" s="42"/>
      <c r="D20" s="63" t="s">
        <v>238</v>
      </c>
      <c r="E20" s="75"/>
      <c r="F20" s="68"/>
      <c r="G20" s="75"/>
      <c r="H20" s="68"/>
      <c r="I20" s="75"/>
      <c r="J20" s="68"/>
      <c r="K20" s="75"/>
      <c r="L20" s="68"/>
      <c r="M20" s="75"/>
      <c r="N20" s="68"/>
      <c r="O20" s="75"/>
      <c r="P20" s="68"/>
      <c r="Q20" s="75"/>
      <c r="R20" s="68"/>
      <c r="S20" s="75"/>
      <c r="T20" s="68"/>
      <c r="U20" s="75"/>
      <c r="V20" s="68"/>
      <c r="W20" s="75"/>
      <c r="X20" s="68"/>
      <c r="Y20" s="75"/>
      <c r="Z20" s="68"/>
      <c r="AA20" s="28"/>
      <c r="AB20" s="68"/>
      <c r="AC20" s="28"/>
      <c r="AD20" s="68"/>
      <c r="AE20" s="28"/>
      <c r="AF20" s="68"/>
      <c r="AG20" s="28"/>
      <c r="AH20" s="68"/>
      <c r="AI20" s="28"/>
      <c r="AJ20" s="68"/>
      <c r="AK20" s="28"/>
      <c r="AL20" s="68"/>
      <c r="AM20" s="28"/>
      <c r="AN20" s="68"/>
      <c r="AO20" s="28"/>
      <c r="AP20" s="68"/>
      <c r="AQ20" s="28"/>
      <c r="AR20" s="68"/>
      <c r="AS20" s="28"/>
      <c r="AT20" s="17"/>
      <c r="AU20" s="17"/>
      <c r="AV20" s="17"/>
      <c r="AW20" s="17"/>
      <c r="AX20" s="63" t="s">
        <v>483</v>
      </c>
    </row>
    <row r="21" spans="2:50" ht="10.5" customHeight="1">
      <c r="B21" s="42"/>
      <c r="C21" s="42"/>
      <c r="D21" s="63" t="s">
        <v>239</v>
      </c>
      <c r="E21" s="75"/>
      <c r="F21" s="68"/>
      <c r="G21" s="75"/>
      <c r="H21" s="68"/>
      <c r="I21" s="75"/>
      <c r="J21" s="68"/>
      <c r="K21" s="75"/>
      <c r="L21" s="68"/>
      <c r="M21" s="75"/>
      <c r="N21" s="68"/>
      <c r="O21" s="75"/>
      <c r="P21" s="68"/>
      <c r="Q21" s="75"/>
      <c r="R21" s="68"/>
      <c r="S21" s="75"/>
      <c r="T21" s="68"/>
      <c r="U21" s="75"/>
      <c r="V21" s="68"/>
      <c r="W21" s="75"/>
      <c r="X21" s="68"/>
      <c r="Y21" s="75"/>
      <c r="Z21" s="68"/>
      <c r="AA21" s="28"/>
      <c r="AB21" s="68"/>
      <c r="AC21" s="28"/>
      <c r="AD21" s="68"/>
      <c r="AE21" s="28"/>
      <c r="AF21" s="68"/>
      <c r="AG21" s="28"/>
      <c r="AH21" s="68"/>
      <c r="AI21" s="28"/>
      <c r="AJ21" s="68"/>
      <c r="AK21" s="28"/>
      <c r="AL21" s="68"/>
      <c r="AM21" s="28"/>
      <c r="AN21" s="68"/>
      <c r="AO21" s="28"/>
      <c r="AP21" s="68"/>
      <c r="AQ21" s="28"/>
      <c r="AR21" s="68"/>
      <c r="AS21" s="28"/>
      <c r="AT21" s="17"/>
      <c r="AU21" s="17"/>
      <c r="AV21" s="17"/>
      <c r="AW21" s="17"/>
      <c r="AX21" s="63"/>
    </row>
    <row r="22" spans="2:50" ht="10.5" customHeight="1">
      <c r="B22" s="42">
        <v>5</v>
      </c>
      <c r="C22" s="42"/>
      <c r="D22" s="16" t="s">
        <v>240</v>
      </c>
      <c r="E22" s="75">
        <v>108</v>
      </c>
      <c r="F22" s="68"/>
      <c r="G22" s="75">
        <v>108</v>
      </c>
      <c r="H22" s="68"/>
      <c r="I22" s="75">
        <v>109</v>
      </c>
      <c r="J22" s="68"/>
      <c r="K22" s="75">
        <v>109</v>
      </c>
      <c r="L22" s="68"/>
      <c r="M22" s="75">
        <v>109</v>
      </c>
      <c r="N22" s="68"/>
      <c r="O22" s="75">
        <v>109</v>
      </c>
      <c r="P22" s="68"/>
      <c r="Q22" s="75">
        <v>109</v>
      </c>
      <c r="R22" s="68"/>
      <c r="S22" s="75">
        <v>109</v>
      </c>
      <c r="T22" s="68"/>
      <c r="U22" s="75">
        <v>109</v>
      </c>
      <c r="V22" s="68"/>
      <c r="W22" s="75">
        <v>109</v>
      </c>
      <c r="X22" s="68"/>
      <c r="Y22" s="75">
        <v>109</v>
      </c>
      <c r="Z22" s="68"/>
      <c r="AA22" s="28">
        <v>109</v>
      </c>
      <c r="AB22" s="68"/>
      <c r="AC22" s="28">
        <v>109</v>
      </c>
      <c r="AD22" s="68"/>
      <c r="AE22" s="28">
        <v>109</v>
      </c>
      <c r="AF22" s="68"/>
      <c r="AG22" s="28">
        <v>109</v>
      </c>
      <c r="AH22" s="68"/>
      <c r="AI22" s="28">
        <v>109</v>
      </c>
      <c r="AJ22" s="68"/>
      <c r="AK22" s="28">
        <v>109</v>
      </c>
      <c r="AL22" s="68"/>
      <c r="AM22" s="28">
        <v>109</v>
      </c>
      <c r="AN22" s="68"/>
      <c r="AO22" s="28">
        <v>109</v>
      </c>
      <c r="AP22" s="68"/>
      <c r="AQ22" s="28">
        <v>109</v>
      </c>
      <c r="AR22" s="68"/>
      <c r="AS22" s="28">
        <v>109</v>
      </c>
      <c r="AT22" s="17"/>
      <c r="AU22" s="28">
        <v>109</v>
      </c>
      <c r="AV22" s="17"/>
      <c r="AW22" s="17"/>
      <c r="AX22" s="16" t="s">
        <v>241</v>
      </c>
    </row>
    <row r="23" spans="2:50" ht="10.5" customHeight="1">
      <c r="B23" s="42"/>
      <c r="C23" s="42"/>
      <c r="D23" s="16"/>
      <c r="E23" s="75"/>
      <c r="F23" s="68"/>
      <c r="G23" s="75"/>
      <c r="H23" s="68"/>
      <c r="I23" s="75"/>
      <c r="J23" s="68"/>
      <c r="K23" s="75"/>
      <c r="L23" s="68"/>
      <c r="M23" s="75"/>
      <c r="N23" s="68"/>
      <c r="O23" s="75"/>
      <c r="P23" s="68"/>
      <c r="Q23" s="75"/>
      <c r="R23" s="68"/>
      <c r="S23" s="75"/>
      <c r="T23" s="68"/>
      <c r="U23" s="75"/>
      <c r="V23" s="68"/>
      <c r="W23" s="75"/>
      <c r="X23" s="68"/>
      <c r="Y23" s="75"/>
      <c r="Z23" s="68"/>
      <c r="AA23" s="28"/>
      <c r="AB23" s="68"/>
      <c r="AC23" s="28"/>
      <c r="AD23" s="68"/>
      <c r="AE23" s="28"/>
      <c r="AF23" s="68"/>
      <c r="AG23" s="28"/>
      <c r="AH23" s="68"/>
      <c r="AI23" s="28"/>
      <c r="AJ23" s="68"/>
      <c r="AK23" s="28"/>
      <c r="AL23" s="68"/>
      <c r="AM23" s="28"/>
      <c r="AN23" s="68"/>
      <c r="AO23" s="28"/>
      <c r="AP23" s="68"/>
      <c r="AQ23" s="28"/>
      <c r="AR23" s="68"/>
      <c r="AS23" s="28"/>
      <c r="AT23" s="17"/>
      <c r="AU23" s="28"/>
      <c r="AV23" s="17"/>
      <c r="AW23" s="17"/>
      <c r="AX23" s="16" t="s">
        <v>242</v>
      </c>
    </row>
    <row r="24" spans="2:50" ht="10.5" customHeight="1">
      <c r="B24" s="42">
        <v>6</v>
      </c>
      <c r="C24" s="42"/>
      <c r="D24" s="16" t="s">
        <v>243</v>
      </c>
      <c r="E24" s="75">
        <v>108</v>
      </c>
      <c r="F24" s="68"/>
      <c r="G24" s="75">
        <v>108</v>
      </c>
      <c r="H24" s="68"/>
      <c r="I24" s="75">
        <v>109</v>
      </c>
      <c r="J24" s="68"/>
      <c r="K24" s="75">
        <v>109</v>
      </c>
      <c r="L24" s="68"/>
      <c r="M24" s="75">
        <v>109</v>
      </c>
      <c r="N24" s="68"/>
      <c r="O24" s="75">
        <v>109</v>
      </c>
      <c r="P24" s="68"/>
      <c r="Q24" s="75">
        <v>109</v>
      </c>
      <c r="R24" s="68"/>
      <c r="S24" s="75">
        <v>109</v>
      </c>
      <c r="T24" s="68"/>
      <c r="U24" s="75">
        <v>109</v>
      </c>
      <c r="V24" s="68"/>
      <c r="W24" s="75">
        <v>109</v>
      </c>
      <c r="X24" s="68"/>
      <c r="Y24" s="75">
        <v>109</v>
      </c>
      <c r="Z24" s="68"/>
      <c r="AA24" s="28">
        <v>109</v>
      </c>
      <c r="AB24" s="68"/>
      <c r="AC24" s="28">
        <v>109</v>
      </c>
      <c r="AD24" s="68"/>
      <c r="AE24" s="28">
        <v>109</v>
      </c>
      <c r="AF24" s="68"/>
      <c r="AG24" s="28">
        <v>109</v>
      </c>
      <c r="AH24" s="68"/>
      <c r="AI24" s="28">
        <v>109</v>
      </c>
      <c r="AJ24" s="68"/>
      <c r="AK24" s="28">
        <v>109</v>
      </c>
      <c r="AL24" s="68"/>
      <c r="AM24" s="28">
        <v>109</v>
      </c>
      <c r="AN24" s="68"/>
      <c r="AO24" s="28">
        <v>109</v>
      </c>
      <c r="AP24" s="68"/>
      <c r="AQ24" s="28">
        <v>109</v>
      </c>
      <c r="AR24" s="68"/>
      <c r="AS24" s="28">
        <v>109</v>
      </c>
      <c r="AT24" s="17"/>
      <c r="AU24" s="28">
        <v>109</v>
      </c>
      <c r="AV24" s="17"/>
      <c r="AW24" s="17"/>
      <c r="AX24" s="16" t="s">
        <v>244</v>
      </c>
    </row>
    <row r="25" spans="2:50" ht="6" customHeight="1">
      <c r="B25" s="34"/>
      <c r="C25" s="34"/>
      <c r="D25" s="70"/>
      <c r="E25" s="73"/>
      <c r="F25" s="74"/>
      <c r="G25" s="73"/>
      <c r="H25" s="74"/>
      <c r="I25" s="73"/>
      <c r="J25" s="74"/>
      <c r="K25" s="73"/>
      <c r="L25" s="74"/>
      <c r="M25" s="73"/>
      <c r="N25" s="74"/>
      <c r="O25" s="73"/>
      <c r="P25" s="74"/>
      <c r="Q25" s="73"/>
      <c r="R25" s="74"/>
      <c r="S25" s="73"/>
      <c r="T25" s="74"/>
      <c r="U25" s="73"/>
      <c r="V25" s="74"/>
      <c r="W25" s="73"/>
      <c r="X25" s="74"/>
      <c r="Y25" s="73"/>
      <c r="Z25" s="74"/>
      <c r="AA25" s="71"/>
      <c r="AB25" s="74"/>
      <c r="AC25" s="71"/>
      <c r="AD25" s="74"/>
      <c r="AE25" s="71"/>
      <c r="AF25" s="74"/>
      <c r="AG25" s="71"/>
      <c r="AH25" s="74"/>
      <c r="AI25" s="71"/>
      <c r="AJ25" s="74"/>
      <c r="AK25" s="71"/>
      <c r="AL25" s="74"/>
      <c r="AM25" s="71"/>
      <c r="AN25" s="74"/>
      <c r="AO25" s="71"/>
      <c r="AP25" s="74"/>
      <c r="AQ25" s="71"/>
      <c r="AR25" s="74"/>
      <c r="AS25" s="41"/>
      <c r="AT25" s="41"/>
      <c r="AU25" s="41"/>
      <c r="AV25" s="41"/>
      <c r="AW25" s="41"/>
      <c r="AX25" s="70"/>
    </row>
    <row r="26" spans="2:50" ht="6" customHeight="1">
      <c r="B26" s="42"/>
      <c r="C26" s="42"/>
      <c r="D26" s="16"/>
      <c r="E26" s="16"/>
      <c r="F26" s="16"/>
      <c r="G26" s="16"/>
      <c r="H26" s="16"/>
      <c r="I26" s="16"/>
      <c r="J26" s="16"/>
      <c r="K26" s="16"/>
      <c r="L26" s="16"/>
      <c r="M26" s="16"/>
      <c r="N26" s="16"/>
      <c r="O26" s="16"/>
      <c r="P26" s="16"/>
      <c r="Q26" s="16"/>
      <c r="R26" s="16"/>
      <c r="S26" s="75"/>
      <c r="T26" s="68"/>
      <c r="U26" s="75"/>
      <c r="V26" s="68"/>
      <c r="W26" s="75"/>
      <c r="X26" s="68"/>
      <c r="Y26" s="75"/>
      <c r="Z26" s="68"/>
      <c r="AA26" s="28"/>
      <c r="AB26" s="68"/>
      <c r="AC26" s="28"/>
      <c r="AD26" s="68"/>
      <c r="AE26" s="28"/>
      <c r="AF26" s="68"/>
      <c r="AG26" s="28"/>
      <c r="AH26" s="68"/>
      <c r="AI26" s="28"/>
      <c r="AJ26" s="68"/>
      <c r="AK26" s="28"/>
      <c r="AL26" s="68"/>
      <c r="AM26" s="28"/>
      <c r="AN26" s="68"/>
      <c r="AO26" s="28"/>
      <c r="AP26" s="68"/>
      <c r="AQ26" s="28"/>
      <c r="AR26" s="68"/>
      <c r="AS26" s="17"/>
      <c r="AT26" s="17"/>
      <c r="AU26" s="17"/>
      <c r="AV26" s="17"/>
      <c r="AW26" s="17"/>
      <c r="AX26" s="16"/>
    </row>
    <row r="27" spans="2:50" ht="10.5" customHeight="1">
      <c r="B27" s="42"/>
      <c r="C27" s="42"/>
      <c r="D27" s="16"/>
      <c r="E27" s="16"/>
      <c r="F27" s="16"/>
      <c r="G27" s="16"/>
      <c r="H27" s="16"/>
      <c r="I27" s="16"/>
      <c r="J27" s="16"/>
      <c r="K27" s="16"/>
      <c r="L27" s="16"/>
      <c r="M27" s="16"/>
      <c r="N27" s="16"/>
      <c r="O27" s="16"/>
      <c r="P27" s="16"/>
      <c r="Q27" s="16"/>
      <c r="R27" s="16"/>
      <c r="S27" s="75"/>
      <c r="T27" s="68"/>
      <c r="U27" s="75"/>
      <c r="V27" s="68"/>
      <c r="W27" s="75"/>
      <c r="X27" s="68"/>
      <c r="Y27" s="75"/>
      <c r="Z27" s="68"/>
      <c r="AA27" s="28"/>
      <c r="AB27" s="68"/>
      <c r="AC27" s="28"/>
      <c r="AD27" s="68"/>
      <c r="AE27" s="28"/>
      <c r="AF27" s="68"/>
      <c r="AG27" s="28"/>
      <c r="AH27" s="68"/>
      <c r="AI27" s="28"/>
      <c r="AJ27" s="68"/>
      <c r="AK27" s="28"/>
      <c r="AL27" s="68"/>
      <c r="AM27" s="28"/>
      <c r="AN27" s="68"/>
      <c r="AO27" s="28"/>
      <c r="AP27" s="68"/>
      <c r="AQ27" s="28"/>
      <c r="AR27" s="68"/>
      <c r="AS27" s="17"/>
      <c r="AT27" s="17"/>
      <c r="AU27" s="17"/>
      <c r="AV27" s="17"/>
      <c r="AW27" s="17"/>
      <c r="AX27" s="16"/>
    </row>
    <row r="28" spans="2:50" ht="14.25" customHeight="1">
      <c r="B28" s="523" t="s">
        <v>1429</v>
      </c>
      <c r="C28" s="528"/>
      <c r="D28" s="528"/>
      <c r="E28" s="497"/>
      <c r="F28" s="502"/>
      <c r="G28" s="497"/>
      <c r="H28" s="502"/>
      <c r="I28" s="497"/>
      <c r="J28" s="502"/>
      <c r="K28" s="497"/>
      <c r="L28" s="502"/>
      <c r="M28" s="497"/>
      <c r="N28" s="502"/>
      <c r="O28" s="497"/>
      <c r="P28" s="502"/>
      <c r="Q28" s="497"/>
      <c r="R28" s="502"/>
      <c r="S28" s="497"/>
      <c r="T28" s="502"/>
      <c r="U28" s="497"/>
      <c r="V28" s="502"/>
      <c r="W28" s="497"/>
      <c r="X28" s="502"/>
      <c r="Y28" s="497"/>
      <c r="Z28" s="502"/>
      <c r="AA28" s="497"/>
      <c r="AB28" s="502"/>
      <c r="AC28" s="42"/>
      <c r="AD28" s="61"/>
      <c r="AE28" s="42"/>
      <c r="AF28" s="61"/>
      <c r="AG28" s="42"/>
      <c r="AH28" s="61"/>
      <c r="AI28" s="42"/>
      <c r="AJ28" s="61"/>
      <c r="AK28" s="42"/>
      <c r="AL28" s="61"/>
      <c r="AM28" s="497"/>
      <c r="AN28" s="502"/>
      <c r="AO28" s="497"/>
      <c r="AP28" s="502"/>
      <c r="AQ28" s="497"/>
      <c r="AR28" s="502"/>
      <c r="AX28" s="283" t="s">
        <v>261</v>
      </c>
    </row>
    <row r="29" spans="2:50" ht="6" customHeight="1">
      <c r="B29" s="79"/>
      <c r="C29" s="291"/>
      <c r="D29" s="291"/>
      <c r="E29" s="80"/>
      <c r="F29" s="81"/>
      <c r="G29" s="80"/>
      <c r="H29" s="81"/>
      <c r="I29" s="80"/>
      <c r="J29" s="81"/>
      <c r="K29" s="80"/>
      <c r="L29" s="81"/>
      <c r="M29" s="80"/>
      <c r="N29" s="81"/>
      <c r="O29" s="80"/>
      <c r="P29" s="81"/>
      <c r="Q29" s="80"/>
      <c r="R29" s="81"/>
      <c r="S29" s="80"/>
      <c r="T29" s="81"/>
      <c r="U29" s="80"/>
      <c r="V29" s="81"/>
      <c r="W29" s="80"/>
      <c r="X29" s="81"/>
      <c r="Y29" s="80"/>
      <c r="Z29" s="81"/>
      <c r="AA29" s="80"/>
      <c r="AB29" s="81"/>
      <c r="AC29" s="80"/>
      <c r="AD29" s="81"/>
      <c r="AE29" s="80"/>
      <c r="AF29" s="81"/>
      <c r="AG29" s="80"/>
      <c r="AH29" s="81"/>
      <c r="AI29" s="80"/>
      <c r="AJ29" s="81"/>
      <c r="AK29" s="80"/>
      <c r="AL29" s="81"/>
      <c r="AM29" s="80"/>
      <c r="AN29" s="81"/>
      <c r="AO29" s="80"/>
      <c r="AP29" s="81"/>
      <c r="AQ29" s="80"/>
      <c r="AR29" s="81"/>
      <c r="AS29" s="79"/>
      <c r="AT29" s="79"/>
      <c r="AU29" s="79"/>
      <c r="AV29" s="79"/>
      <c r="AW29" s="79"/>
      <c r="AX29" s="291"/>
    </row>
    <row r="30" spans="2:50" ht="6" customHeight="1">
      <c r="B30" s="42"/>
      <c r="C30" s="42"/>
      <c r="D30" s="53"/>
      <c r="E30" s="75"/>
      <c r="F30" s="68"/>
      <c r="G30" s="75"/>
      <c r="H30" s="68"/>
      <c r="I30" s="75"/>
      <c r="J30" s="68"/>
      <c r="K30" s="75"/>
      <c r="L30" s="68"/>
      <c r="M30" s="75"/>
      <c r="N30" s="68"/>
      <c r="O30" s="75"/>
      <c r="P30" s="68"/>
      <c r="Q30" s="75"/>
      <c r="R30" s="68"/>
      <c r="S30" s="75"/>
      <c r="T30" s="68"/>
      <c r="U30" s="75"/>
      <c r="V30" s="68"/>
      <c r="W30" s="75"/>
      <c r="X30" s="68"/>
      <c r="Y30" s="75"/>
      <c r="Z30" s="68"/>
      <c r="AA30" s="28"/>
      <c r="AB30" s="68"/>
      <c r="AC30" s="28"/>
      <c r="AD30" s="68"/>
      <c r="AE30" s="28"/>
      <c r="AF30" s="68"/>
      <c r="AG30" s="28"/>
      <c r="AH30" s="68"/>
      <c r="AI30" s="28"/>
      <c r="AJ30" s="68"/>
      <c r="AK30" s="28"/>
      <c r="AL30" s="68"/>
      <c r="AM30" s="28"/>
      <c r="AN30" s="68"/>
      <c r="AO30" s="28"/>
      <c r="AP30" s="68"/>
      <c r="AQ30" s="28"/>
      <c r="AR30" s="68"/>
      <c r="AS30" s="17"/>
      <c r="AT30" s="17"/>
      <c r="AU30" s="17"/>
      <c r="AV30" s="17"/>
      <c r="AW30" s="17"/>
      <c r="AX30" s="53"/>
    </row>
    <row r="31" spans="2:50" ht="10.5" customHeight="1">
      <c r="B31" s="42"/>
      <c r="C31" s="42"/>
      <c r="D31" s="63" t="s">
        <v>258</v>
      </c>
      <c r="E31" s="75"/>
      <c r="F31" s="68"/>
      <c r="G31" s="75"/>
      <c r="H31" s="68"/>
      <c r="I31" s="75"/>
      <c r="J31" s="68"/>
      <c r="K31" s="75"/>
      <c r="L31" s="68"/>
      <c r="M31" s="75"/>
      <c r="N31" s="68"/>
      <c r="O31" s="75"/>
      <c r="P31" s="68"/>
      <c r="Q31" s="75"/>
      <c r="R31" s="68"/>
      <c r="S31" s="75"/>
      <c r="T31" s="68"/>
      <c r="U31" s="75"/>
      <c r="V31" s="68"/>
      <c r="W31" s="75"/>
      <c r="X31" s="68"/>
      <c r="Y31" s="75"/>
      <c r="Z31" s="68"/>
      <c r="AA31" s="28"/>
      <c r="AB31" s="68"/>
      <c r="AC31" s="28"/>
      <c r="AD31" s="68"/>
      <c r="AE31" s="28"/>
      <c r="AF31" s="68"/>
      <c r="AG31" s="28"/>
      <c r="AH31" s="68"/>
      <c r="AI31" s="28"/>
      <c r="AJ31" s="68"/>
      <c r="AK31" s="28"/>
      <c r="AL31" s="68"/>
      <c r="AM31" s="28"/>
      <c r="AN31" s="68"/>
      <c r="AO31" s="28"/>
      <c r="AP31" s="68"/>
      <c r="AQ31" s="28"/>
      <c r="AR31" s="68"/>
      <c r="AS31" s="17"/>
      <c r="AT31" s="17"/>
      <c r="AU31" s="17"/>
      <c r="AV31" s="17"/>
      <c r="AW31" s="17"/>
      <c r="AX31" s="63" t="s">
        <v>259</v>
      </c>
    </row>
    <row r="32" spans="2:50" ht="10.5" customHeight="1">
      <c r="B32" s="42">
        <v>7</v>
      </c>
      <c r="C32" s="42"/>
      <c r="D32" s="16" t="s">
        <v>260</v>
      </c>
      <c r="E32" s="28">
        <v>151.9</v>
      </c>
      <c r="F32" s="68"/>
      <c r="G32" s="28">
        <v>504.8</v>
      </c>
      <c r="H32" s="68"/>
      <c r="I32" s="28">
        <v>1666.1</v>
      </c>
      <c r="J32" s="68"/>
      <c r="K32" s="28">
        <v>1638.3</v>
      </c>
      <c r="L32" s="68"/>
      <c r="M32" s="28">
        <v>269.7</v>
      </c>
      <c r="N32" s="68"/>
      <c r="O32" s="28">
        <v>157.1</v>
      </c>
      <c r="P32" s="68"/>
      <c r="Q32" s="28">
        <v>207.5</v>
      </c>
      <c r="R32" s="68"/>
      <c r="S32" s="75">
        <v>156.9</v>
      </c>
      <c r="T32" s="68"/>
      <c r="U32" s="28">
        <v>168.1</v>
      </c>
      <c r="V32" s="68"/>
      <c r="W32" s="28">
        <v>213.6</v>
      </c>
      <c r="X32" s="68"/>
      <c r="Y32" s="28">
        <v>171.1</v>
      </c>
      <c r="Z32" s="68"/>
      <c r="AA32" s="28">
        <v>174.6</v>
      </c>
      <c r="AB32" s="16"/>
      <c r="AC32" s="28">
        <v>497</v>
      </c>
      <c r="AD32" s="16"/>
      <c r="AE32" s="28">
        <v>1798</v>
      </c>
      <c r="AF32" s="16"/>
      <c r="AG32" s="28">
        <v>2088</v>
      </c>
      <c r="AH32" s="16"/>
      <c r="AI32" s="28">
        <v>1274</v>
      </c>
      <c r="AJ32" s="16"/>
      <c r="AK32" s="28">
        <v>782.3</v>
      </c>
      <c r="AL32" s="16"/>
      <c r="AM32" s="28">
        <v>-358</v>
      </c>
      <c r="AN32" s="23">
        <v>1</v>
      </c>
      <c r="AO32" s="28">
        <v>127</v>
      </c>
      <c r="AP32" s="23"/>
      <c r="AQ32" s="28">
        <v>279</v>
      </c>
      <c r="AR32" s="16"/>
      <c r="AS32" s="28">
        <v>64.3</v>
      </c>
      <c r="AT32" s="17"/>
      <c r="AU32" s="17">
        <v>54</v>
      </c>
      <c r="AV32" s="17"/>
      <c r="AW32" s="17"/>
      <c r="AX32" s="16" t="s">
        <v>261</v>
      </c>
    </row>
    <row r="33" spans="2:50" ht="10.5" customHeight="1">
      <c r="B33" s="42">
        <v>8</v>
      </c>
      <c r="C33" s="42"/>
      <c r="D33" s="16" t="s">
        <v>262</v>
      </c>
      <c r="E33" s="17" t="s">
        <v>78</v>
      </c>
      <c r="F33" s="17"/>
      <c r="G33" s="17" t="s">
        <v>78</v>
      </c>
      <c r="H33" s="17"/>
      <c r="I33" s="17" t="s">
        <v>78</v>
      </c>
      <c r="J33" s="17"/>
      <c r="K33" s="17" t="s">
        <v>78</v>
      </c>
      <c r="L33" s="16"/>
      <c r="M33" s="25">
        <v>600.29999999999995</v>
      </c>
      <c r="N33" s="25"/>
      <c r="O33" s="25">
        <v>349.7</v>
      </c>
      <c r="P33" s="25"/>
      <c r="Q33" s="25">
        <v>462</v>
      </c>
      <c r="R33" s="25"/>
      <c r="S33" s="25">
        <v>496.7</v>
      </c>
      <c r="T33" s="25"/>
      <c r="U33" s="25">
        <v>716.4</v>
      </c>
      <c r="V33" s="25"/>
      <c r="W33" s="25">
        <v>676.4</v>
      </c>
      <c r="X33" s="25"/>
      <c r="Y33" s="25">
        <v>624.1</v>
      </c>
      <c r="Z33" s="16"/>
      <c r="AA33" s="28">
        <v>1280.4000000000001</v>
      </c>
      <c r="AB33" s="16"/>
      <c r="AC33" s="28">
        <v>513</v>
      </c>
      <c r="AD33" s="16"/>
      <c r="AE33" s="28">
        <v>37</v>
      </c>
      <c r="AF33" s="16"/>
      <c r="AG33" s="28">
        <v>29</v>
      </c>
      <c r="AH33" s="16"/>
      <c r="AI33" s="28">
        <v>188</v>
      </c>
      <c r="AJ33" s="16"/>
      <c r="AK33" s="28">
        <v>384.6</v>
      </c>
      <c r="AL33" s="16"/>
      <c r="AM33" s="28">
        <v>332</v>
      </c>
      <c r="AN33" s="16"/>
      <c r="AO33" s="28">
        <v>617.9</v>
      </c>
      <c r="AP33" s="16"/>
      <c r="AQ33" s="28">
        <v>870</v>
      </c>
      <c r="AR33" s="16"/>
      <c r="AS33" s="28">
        <v>505.6</v>
      </c>
      <c r="AT33" s="17"/>
      <c r="AU33" s="17">
        <v>271</v>
      </c>
      <c r="AV33" s="17"/>
      <c r="AW33" s="17"/>
      <c r="AX33" s="16" t="s">
        <v>263</v>
      </c>
    </row>
    <row r="34" spans="2:50" ht="10.5" customHeight="1">
      <c r="B34" s="42">
        <v>9</v>
      </c>
      <c r="C34" s="42"/>
      <c r="D34" s="16" t="s">
        <v>264</v>
      </c>
      <c r="E34" s="28">
        <v>282.60000000000002</v>
      </c>
      <c r="F34" s="68"/>
      <c r="G34" s="28">
        <v>246.4</v>
      </c>
      <c r="H34" s="68"/>
      <c r="I34" s="28">
        <v>523.9</v>
      </c>
      <c r="J34" s="68"/>
      <c r="K34" s="28">
        <v>522.79999999999995</v>
      </c>
      <c r="L34" s="68"/>
      <c r="M34" s="184">
        <v>610.79999999999995</v>
      </c>
      <c r="N34" s="68"/>
      <c r="O34" s="28">
        <v>693.5</v>
      </c>
      <c r="P34" s="68"/>
      <c r="Q34" s="28">
        <v>799.7</v>
      </c>
      <c r="R34" s="68"/>
      <c r="S34" s="75">
        <v>834.8</v>
      </c>
      <c r="T34" s="68"/>
      <c r="U34" s="28">
        <v>842.8</v>
      </c>
      <c r="V34" s="68"/>
      <c r="W34" s="28">
        <v>821.5</v>
      </c>
      <c r="X34" s="68"/>
      <c r="Y34" s="28">
        <v>734.7</v>
      </c>
      <c r="Z34" s="68"/>
      <c r="AA34" s="28">
        <v>744.8</v>
      </c>
      <c r="AB34" s="16"/>
      <c r="AC34" s="28">
        <v>774.4</v>
      </c>
      <c r="AD34" s="16"/>
      <c r="AE34" s="28">
        <v>755.2</v>
      </c>
      <c r="AF34" s="16"/>
      <c r="AG34" s="28">
        <v>753.1</v>
      </c>
      <c r="AH34" s="16"/>
      <c r="AI34" s="28">
        <v>428</v>
      </c>
      <c r="AJ34" s="16"/>
      <c r="AK34" s="28">
        <v>543.1</v>
      </c>
      <c r="AL34" s="16"/>
      <c r="AM34" s="28">
        <v>340</v>
      </c>
      <c r="AN34" s="16"/>
      <c r="AO34" s="28">
        <v>340.7</v>
      </c>
      <c r="AP34" s="16"/>
      <c r="AQ34" s="28">
        <v>344</v>
      </c>
      <c r="AR34" s="16"/>
      <c r="AS34" s="28">
        <v>368</v>
      </c>
      <c r="AT34" s="17"/>
      <c r="AU34" s="17">
        <v>373</v>
      </c>
      <c r="AV34" s="17"/>
      <c r="AW34" s="17"/>
      <c r="AX34" s="16" t="s">
        <v>265</v>
      </c>
    </row>
    <row r="35" spans="2:50" ht="10.5" customHeight="1">
      <c r="B35" s="42">
        <v>10</v>
      </c>
      <c r="C35" s="42"/>
      <c r="D35" s="18" t="s">
        <v>231</v>
      </c>
      <c r="E35" s="65">
        <v>434.5</v>
      </c>
      <c r="F35" s="65"/>
      <c r="G35" s="65">
        <v>751.2</v>
      </c>
      <c r="H35" s="65"/>
      <c r="I35" s="65">
        <v>2190</v>
      </c>
      <c r="J35" s="65"/>
      <c r="K35" s="65">
        <v>2161.1</v>
      </c>
      <c r="L35" s="66"/>
      <c r="M35" s="65">
        <v>1480.8</v>
      </c>
      <c r="N35" s="65"/>
      <c r="O35" s="65">
        <v>1200.3</v>
      </c>
      <c r="P35" s="65"/>
      <c r="Q35" s="65">
        <v>1469.2</v>
      </c>
      <c r="R35" s="65"/>
      <c r="S35" s="65">
        <v>1488.4</v>
      </c>
      <c r="T35" s="65"/>
      <c r="U35" s="65">
        <v>1727.3</v>
      </c>
      <c r="V35" s="65"/>
      <c r="W35" s="65">
        <v>1711.5</v>
      </c>
      <c r="X35" s="65"/>
      <c r="Y35" s="65">
        <v>1529.9</v>
      </c>
      <c r="Z35" s="65"/>
      <c r="AA35" s="65">
        <v>2199.8000000000002</v>
      </c>
      <c r="AB35" s="18"/>
      <c r="AC35" s="65">
        <v>1784.4</v>
      </c>
      <c r="AD35" s="18"/>
      <c r="AE35" s="65">
        <v>2590.1999999999998</v>
      </c>
      <c r="AF35" s="18"/>
      <c r="AG35" s="65">
        <v>2870.1</v>
      </c>
      <c r="AH35" s="18"/>
      <c r="AI35" s="65">
        <v>1890</v>
      </c>
      <c r="AJ35" s="16"/>
      <c r="AK35" s="65">
        <v>1710</v>
      </c>
      <c r="AL35" s="16"/>
      <c r="AM35" s="65">
        <v>314</v>
      </c>
      <c r="AN35" s="23">
        <v>1</v>
      </c>
      <c r="AO35" s="65">
        <v>1086</v>
      </c>
      <c r="AP35" s="23"/>
      <c r="AQ35" s="65">
        <v>1493</v>
      </c>
      <c r="AR35" s="16"/>
      <c r="AS35" s="65">
        <v>937.90000000000009</v>
      </c>
      <c r="AT35" s="17"/>
      <c r="AU35" s="65">
        <v>698</v>
      </c>
      <c r="AV35" s="17"/>
      <c r="AW35" s="17"/>
      <c r="AX35" s="18" t="s">
        <v>84</v>
      </c>
    </row>
    <row r="36" spans="2:50" ht="6" customHeight="1">
      <c r="B36" s="80"/>
      <c r="C36" s="80"/>
      <c r="D36" s="46"/>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46"/>
    </row>
    <row r="37" spans="2:50" ht="6" customHeight="1">
      <c r="B37" s="42"/>
      <c r="C37" s="42"/>
      <c r="D37" s="24"/>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24"/>
    </row>
    <row r="38" spans="2:50" ht="24" customHeight="1">
      <c r="B38" s="529" t="s">
        <v>845</v>
      </c>
      <c r="C38" s="530"/>
      <c r="D38" s="530"/>
      <c r="E38" s="530"/>
      <c r="F38" s="530"/>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0"/>
      <c r="AK38" s="530"/>
      <c r="AL38" s="530"/>
      <c r="AM38" s="530"/>
      <c r="AN38" s="530"/>
      <c r="AO38" s="530"/>
      <c r="AP38" s="530"/>
      <c r="AQ38" s="530"/>
      <c r="AR38" s="530"/>
      <c r="AS38" s="530"/>
      <c r="AT38" s="530"/>
      <c r="AU38" s="530"/>
      <c r="AV38" s="530"/>
      <c r="AW38" s="530"/>
      <c r="AX38" s="530"/>
    </row>
    <row r="39" spans="2:50">
      <c r="B39" s="52"/>
      <c r="C39" s="42"/>
      <c r="D39" s="24"/>
      <c r="E39" s="24"/>
      <c r="F39" s="24"/>
      <c r="G39" s="24"/>
      <c r="H39" s="24"/>
      <c r="I39" s="24"/>
      <c r="J39" s="24"/>
      <c r="K39" s="24"/>
      <c r="L39" s="24"/>
      <c r="M39" s="24"/>
      <c r="N39" s="24"/>
      <c r="O39" s="24"/>
      <c r="P39" s="24"/>
      <c r="Q39" s="24"/>
      <c r="R39" s="24"/>
      <c r="S39" s="42"/>
      <c r="T39" s="61"/>
      <c r="U39" s="42"/>
      <c r="V39" s="61"/>
      <c r="W39" s="42"/>
      <c r="X39" s="61"/>
      <c r="Y39" s="42"/>
      <c r="Z39" s="61"/>
      <c r="AA39" s="42"/>
      <c r="AB39" s="61"/>
      <c r="AC39" s="61"/>
      <c r="AD39" s="61"/>
      <c r="AE39" s="42"/>
      <c r="AF39" s="61"/>
      <c r="AG39" s="42"/>
      <c r="AH39" s="61"/>
      <c r="AI39" s="42"/>
      <c r="AJ39" s="61"/>
      <c r="AK39" s="42"/>
      <c r="AL39" s="61"/>
      <c r="AM39" s="42"/>
      <c r="AN39" s="61"/>
      <c r="AO39" s="42"/>
      <c r="AP39" s="61"/>
      <c r="AQ39" s="42"/>
      <c r="AR39" s="61"/>
      <c r="AS39" s="17"/>
      <c r="AT39" s="17"/>
      <c r="AU39" s="17"/>
      <c r="AV39" s="17"/>
      <c r="AW39" s="17"/>
      <c r="AX39" s="42"/>
    </row>
    <row r="40" spans="2:50">
      <c r="B40" s="52"/>
      <c r="C40" s="42"/>
      <c r="D40" s="24"/>
      <c r="E40" s="24"/>
      <c r="F40" s="24"/>
      <c r="G40" s="24"/>
      <c r="H40" s="24"/>
      <c r="I40" s="24"/>
      <c r="J40" s="24"/>
      <c r="K40" s="24"/>
      <c r="L40" s="24"/>
      <c r="M40" s="24"/>
      <c r="N40" s="24"/>
      <c r="O40" s="24"/>
      <c r="P40" s="24"/>
      <c r="Q40" s="24"/>
      <c r="R40" s="24"/>
      <c r="S40" s="42"/>
      <c r="T40" s="61"/>
      <c r="U40" s="42"/>
      <c r="V40" s="61"/>
      <c r="W40" s="42"/>
      <c r="X40" s="61"/>
      <c r="Y40" s="42"/>
      <c r="Z40" s="61"/>
      <c r="AA40" s="42"/>
      <c r="AB40" s="61"/>
      <c r="AC40" s="61"/>
      <c r="AD40" s="61"/>
      <c r="AE40" s="42"/>
      <c r="AF40" s="61"/>
      <c r="AG40" s="42"/>
      <c r="AH40" s="61"/>
      <c r="AI40" s="42"/>
      <c r="AJ40" s="61"/>
      <c r="AK40" s="42"/>
      <c r="AL40" s="61"/>
      <c r="AM40" s="42"/>
      <c r="AN40" s="61"/>
      <c r="AO40" s="42"/>
      <c r="AP40" s="61"/>
      <c r="AQ40" s="42"/>
      <c r="AR40" s="61"/>
      <c r="AS40" s="17"/>
      <c r="AT40" s="17"/>
      <c r="AU40" s="17"/>
      <c r="AV40" s="17"/>
      <c r="AW40" s="17"/>
      <c r="AX40" s="42"/>
    </row>
    <row r="41" spans="2:50">
      <c r="B41" s="52"/>
      <c r="C41" s="42"/>
      <c r="D41" s="24"/>
      <c r="E41" s="24"/>
      <c r="F41" s="24"/>
      <c r="G41" s="24"/>
      <c r="H41" s="24"/>
      <c r="I41" s="24"/>
      <c r="J41" s="24"/>
      <c r="K41" s="24"/>
      <c r="L41" s="24"/>
      <c r="M41" s="24"/>
      <c r="N41" s="24"/>
      <c r="O41" s="24"/>
      <c r="P41" s="24"/>
      <c r="Q41" s="24"/>
      <c r="R41" s="24"/>
      <c r="S41" s="42"/>
      <c r="T41" s="61"/>
      <c r="U41" s="42"/>
      <c r="V41" s="61"/>
      <c r="W41" s="42"/>
      <c r="X41" s="61"/>
      <c r="Y41" s="42"/>
      <c r="Z41" s="61"/>
      <c r="AA41" s="42"/>
      <c r="AB41" s="61"/>
      <c r="AC41" s="61"/>
      <c r="AD41" s="61"/>
      <c r="AE41" s="42"/>
      <c r="AF41" s="61"/>
      <c r="AG41" s="42"/>
      <c r="AH41" s="61"/>
      <c r="AI41" s="42"/>
      <c r="AJ41" s="61"/>
      <c r="AK41" s="42"/>
      <c r="AL41" s="61"/>
      <c r="AM41" s="42"/>
      <c r="AN41" s="61"/>
      <c r="AO41" s="42"/>
      <c r="AP41" s="61"/>
      <c r="AQ41" s="42"/>
      <c r="AR41" s="61"/>
      <c r="AS41" s="17"/>
      <c r="AT41" s="17"/>
      <c r="AU41" s="17"/>
      <c r="AV41" s="17"/>
      <c r="AW41" s="17"/>
      <c r="AX41" s="42"/>
    </row>
    <row r="42" spans="2:50">
      <c r="B42" s="53"/>
    </row>
    <row r="43" spans="2:50">
      <c r="B43" s="10" t="s">
        <v>1082</v>
      </c>
      <c r="C43" s="10"/>
    </row>
    <row r="44" spans="2:50">
      <c r="B44" s="156" t="s">
        <v>1083</v>
      </c>
      <c r="E44" s="10"/>
      <c r="F44" s="10"/>
      <c r="G44" s="10"/>
      <c r="H44" s="10"/>
      <c r="I44" s="10"/>
      <c r="J44" s="10"/>
      <c r="K44" s="10"/>
      <c r="L44" s="10"/>
      <c r="M44" s="10"/>
      <c r="N44" s="10"/>
      <c r="O44" s="10"/>
      <c r="P44" s="10"/>
      <c r="Q44" s="10"/>
      <c r="R44" s="10"/>
    </row>
    <row r="45" spans="2:50" ht="6" customHeight="1">
      <c r="B45" s="13"/>
      <c r="C45" s="13"/>
      <c r="D45" s="62"/>
      <c r="E45" s="62"/>
      <c r="F45" s="62"/>
      <c r="G45" s="62"/>
      <c r="H45" s="62"/>
      <c r="I45" s="62"/>
      <c r="J45" s="62"/>
      <c r="K45" s="62"/>
      <c r="L45" s="62"/>
      <c r="M45" s="62"/>
      <c r="N45" s="62"/>
      <c r="O45" s="62"/>
      <c r="P45" s="62"/>
      <c r="Q45" s="62"/>
      <c r="R45" s="62"/>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ht="6" customHeight="1"/>
    <row r="47" spans="2:50" ht="14.25" customHeight="1">
      <c r="B47" s="523" t="s">
        <v>266</v>
      </c>
      <c r="C47" s="523"/>
      <c r="D47" s="523"/>
      <c r="E47" s="281">
        <v>2000</v>
      </c>
      <c r="F47" s="404"/>
      <c r="G47" s="281">
        <v>2001</v>
      </c>
      <c r="H47" s="404"/>
      <c r="I47" s="281">
        <v>2002</v>
      </c>
      <c r="J47" s="404"/>
      <c r="K47" s="281">
        <v>2003</v>
      </c>
      <c r="L47" s="404"/>
      <c r="M47" s="281">
        <v>2004</v>
      </c>
      <c r="N47" s="404"/>
      <c r="O47" s="281">
        <v>2005</v>
      </c>
      <c r="P47" s="404"/>
      <c r="Q47" s="281">
        <v>2006</v>
      </c>
      <c r="R47" s="404"/>
      <c r="S47" s="281">
        <v>2007</v>
      </c>
      <c r="T47" s="404"/>
      <c r="U47" s="281">
        <v>2008</v>
      </c>
      <c r="V47" s="404"/>
      <c r="W47" s="281">
        <v>2009</v>
      </c>
      <c r="X47" s="404"/>
      <c r="Y47" s="281">
        <v>2010</v>
      </c>
      <c r="Z47" s="404"/>
      <c r="AA47" s="281">
        <v>2011</v>
      </c>
      <c r="AB47" s="404"/>
      <c r="AC47" s="281">
        <v>2012</v>
      </c>
      <c r="AD47" s="404"/>
      <c r="AE47" s="281">
        <v>2013</v>
      </c>
      <c r="AF47" s="404"/>
      <c r="AG47" s="281">
        <v>2014</v>
      </c>
      <c r="AH47" s="404"/>
      <c r="AI47" s="281">
        <v>2015</v>
      </c>
      <c r="AJ47" s="404"/>
      <c r="AK47" s="281">
        <v>2016</v>
      </c>
      <c r="AL47" s="404"/>
      <c r="AM47" s="281">
        <v>2017</v>
      </c>
      <c r="AN47" s="404"/>
      <c r="AO47" s="281">
        <v>2018</v>
      </c>
      <c r="AP47" s="404"/>
      <c r="AQ47" s="281">
        <v>2019</v>
      </c>
      <c r="AR47" s="404"/>
      <c r="AS47" s="281">
        <v>2020</v>
      </c>
      <c r="AT47" s="404"/>
      <c r="AU47" s="281">
        <v>2021</v>
      </c>
      <c r="AV47" s="281"/>
      <c r="AX47" s="63" t="s">
        <v>267</v>
      </c>
    </row>
    <row r="48" spans="2:50" ht="6" customHeight="1">
      <c r="B48" s="79"/>
      <c r="C48" s="79"/>
      <c r="D48" s="79"/>
      <c r="E48" s="80"/>
      <c r="F48" s="81"/>
      <c r="G48" s="80"/>
      <c r="H48" s="81"/>
      <c r="I48" s="80"/>
      <c r="J48" s="81"/>
      <c r="K48" s="80"/>
      <c r="L48" s="81"/>
      <c r="M48" s="80"/>
      <c r="N48" s="81"/>
      <c r="O48" s="80"/>
      <c r="P48" s="81"/>
      <c r="Q48" s="80"/>
      <c r="R48" s="81"/>
      <c r="S48" s="80"/>
      <c r="T48" s="81"/>
      <c r="U48" s="80"/>
      <c r="V48" s="81"/>
      <c r="W48" s="80"/>
      <c r="X48" s="81"/>
      <c r="Y48" s="80"/>
      <c r="Z48" s="81"/>
      <c r="AA48" s="80"/>
      <c r="AB48" s="81"/>
      <c r="AC48" s="81"/>
      <c r="AD48" s="81"/>
      <c r="AE48" s="80"/>
      <c r="AF48" s="81"/>
      <c r="AG48" s="80"/>
      <c r="AH48" s="81"/>
      <c r="AI48" s="80"/>
      <c r="AJ48" s="81"/>
      <c r="AK48" s="80"/>
      <c r="AL48" s="81"/>
      <c r="AM48" s="80"/>
      <c r="AN48" s="81"/>
      <c r="AO48" s="80"/>
      <c r="AP48" s="81"/>
      <c r="AQ48" s="80"/>
      <c r="AR48" s="81"/>
      <c r="AS48" s="79"/>
      <c r="AT48" s="79"/>
      <c r="AU48" s="79"/>
      <c r="AV48" s="79"/>
      <c r="AW48" s="79"/>
      <c r="AX48" s="79"/>
    </row>
    <row r="49" spans="2:50" ht="6" customHeight="1">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row>
    <row r="50" spans="2:50" ht="10.5" customHeight="1">
      <c r="B50" s="42"/>
      <c r="C50" s="42"/>
      <c r="D50" s="63" t="s">
        <v>268</v>
      </c>
      <c r="E50" s="64"/>
      <c r="F50" s="27"/>
      <c r="G50" s="64"/>
      <c r="H50" s="27"/>
      <c r="I50" s="64"/>
      <c r="J50" s="27"/>
      <c r="K50" s="64"/>
      <c r="L50" s="27"/>
      <c r="M50" s="64"/>
      <c r="N50" s="27"/>
      <c r="O50" s="64"/>
      <c r="P50" s="27"/>
      <c r="Q50" s="64"/>
      <c r="R50" s="27"/>
      <c r="S50" s="64"/>
      <c r="T50" s="27"/>
      <c r="U50" s="64"/>
      <c r="V50" s="27"/>
      <c r="W50" s="64"/>
      <c r="X50" s="27"/>
      <c r="Y50" s="64"/>
      <c r="Z50" s="27"/>
      <c r="AA50" s="64"/>
      <c r="AB50" s="27"/>
      <c r="AC50" s="27"/>
      <c r="AD50" s="27"/>
      <c r="AE50" s="64"/>
      <c r="AF50" s="27"/>
      <c r="AG50" s="64"/>
      <c r="AH50" s="27"/>
      <c r="AI50" s="64"/>
      <c r="AJ50" s="27"/>
      <c r="AK50" s="64"/>
      <c r="AL50" s="27"/>
      <c r="AM50" s="64"/>
      <c r="AN50" s="27"/>
      <c r="AO50" s="64"/>
      <c r="AP50" s="27"/>
      <c r="AQ50" s="64"/>
      <c r="AR50" s="27"/>
      <c r="AS50" s="17"/>
      <c r="AT50" s="17"/>
      <c r="AU50" s="17"/>
      <c r="AV50" s="17"/>
      <c r="AW50" s="17"/>
      <c r="AX50" s="63" t="s">
        <v>269</v>
      </c>
    </row>
    <row r="51" spans="2:50" ht="10.5" customHeight="1">
      <c r="B51" s="42">
        <v>1</v>
      </c>
      <c r="C51" s="42"/>
      <c r="D51" s="16" t="s">
        <v>113</v>
      </c>
      <c r="E51" s="17" t="s">
        <v>78</v>
      </c>
      <c r="F51" s="23"/>
      <c r="G51" s="17" t="s">
        <v>78</v>
      </c>
      <c r="H51" s="27"/>
      <c r="I51" s="17">
        <v>7</v>
      </c>
      <c r="J51" s="27"/>
      <c r="K51" s="17">
        <v>7</v>
      </c>
      <c r="L51" s="27"/>
      <c r="M51" s="17">
        <v>7</v>
      </c>
      <c r="N51" s="27"/>
      <c r="O51" s="17">
        <v>7</v>
      </c>
      <c r="P51" s="27"/>
      <c r="Q51" s="17">
        <v>7</v>
      </c>
      <c r="R51" s="27"/>
      <c r="S51" s="17">
        <v>7</v>
      </c>
      <c r="T51" s="27"/>
      <c r="U51" s="17">
        <v>7</v>
      </c>
      <c r="V51" s="27"/>
      <c r="W51" s="17">
        <v>7</v>
      </c>
      <c r="X51" s="27"/>
      <c r="Y51" s="17">
        <v>7</v>
      </c>
      <c r="Z51" s="27"/>
      <c r="AA51" s="16">
        <v>7</v>
      </c>
      <c r="AB51" s="276"/>
      <c r="AC51" s="17">
        <v>3</v>
      </c>
      <c r="AD51" s="78"/>
      <c r="AE51" s="16">
        <v>3</v>
      </c>
      <c r="AF51" s="78"/>
      <c r="AG51" s="16">
        <v>3</v>
      </c>
      <c r="AH51" s="78"/>
      <c r="AI51" s="16">
        <v>3</v>
      </c>
      <c r="AJ51" s="78"/>
      <c r="AK51" s="26" t="s">
        <v>78</v>
      </c>
      <c r="AL51" s="78"/>
      <c r="AM51" s="26" t="s">
        <v>78</v>
      </c>
      <c r="AN51" s="78"/>
      <c r="AO51" s="26" t="s">
        <v>78</v>
      </c>
      <c r="AP51" s="78"/>
      <c r="AQ51" s="26" t="s">
        <v>78</v>
      </c>
      <c r="AR51" s="78"/>
      <c r="AS51" s="26" t="s">
        <v>78</v>
      </c>
      <c r="AT51" s="17"/>
      <c r="AU51" s="26" t="s">
        <v>78</v>
      </c>
      <c r="AV51" s="26"/>
      <c r="AW51" s="17"/>
      <c r="AX51" s="16" t="s">
        <v>128</v>
      </c>
    </row>
    <row r="52" spans="2:50" ht="10.5" customHeight="1">
      <c r="B52" s="42">
        <v>2</v>
      </c>
      <c r="C52" s="42"/>
      <c r="D52" s="16" t="s">
        <v>114</v>
      </c>
      <c r="E52" s="17" t="s">
        <v>78</v>
      </c>
      <c r="F52" s="23"/>
      <c r="G52" s="17" t="s">
        <v>78</v>
      </c>
      <c r="I52" s="17">
        <v>68</v>
      </c>
      <c r="K52" s="17">
        <v>68</v>
      </c>
      <c r="M52" s="17">
        <v>68</v>
      </c>
      <c r="O52" s="17">
        <v>68</v>
      </c>
      <c r="Q52" s="17">
        <v>68</v>
      </c>
      <c r="S52" s="17">
        <v>68</v>
      </c>
      <c r="T52" s="27"/>
      <c r="U52" s="17">
        <v>68</v>
      </c>
      <c r="V52" s="27"/>
      <c r="W52" s="17">
        <v>68</v>
      </c>
      <c r="X52" s="27"/>
      <c r="Y52" s="17">
        <v>68</v>
      </c>
      <c r="Z52" s="27"/>
      <c r="AA52" s="16">
        <v>68</v>
      </c>
      <c r="AB52" s="276"/>
      <c r="AC52" s="17">
        <v>27</v>
      </c>
      <c r="AD52" s="78"/>
      <c r="AE52" s="16">
        <v>27</v>
      </c>
      <c r="AF52" s="78"/>
      <c r="AG52" s="16">
        <v>27</v>
      </c>
      <c r="AH52" s="78"/>
      <c r="AI52" s="16">
        <v>27</v>
      </c>
      <c r="AJ52" s="78"/>
      <c r="AK52" s="26" t="s">
        <v>78</v>
      </c>
      <c r="AL52" s="78"/>
      <c r="AM52" s="26" t="s">
        <v>78</v>
      </c>
      <c r="AN52" s="78"/>
      <c r="AO52" s="26" t="s">
        <v>78</v>
      </c>
      <c r="AP52" s="78"/>
      <c r="AQ52" s="26" t="s">
        <v>78</v>
      </c>
      <c r="AR52" s="78"/>
      <c r="AS52" s="26" t="s">
        <v>78</v>
      </c>
      <c r="AT52" s="17"/>
      <c r="AU52" s="26" t="s">
        <v>78</v>
      </c>
      <c r="AV52" s="26"/>
      <c r="AW52" s="17"/>
      <c r="AX52" s="16" t="s">
        <v>129</v>
      </c>
    </row>
    <row r="53" spans="2:50" ht="10.5" customHeight="1">
      <c r="B53" s="42">
        <v>3</v>
      </c>
      <c r="C53" s="42"/>
      <c r="D53" s="18" t="s">
        <v>231</v>
      </c>
      <c r="E53" s="66">
        <v>74</v>
      </c>
      <c r="F53" s="43"/>
      <c r="G53" s="66">
        <v>74</v>
      </c>
      <c r="H53" s="43"/>
      <c r="I53" s="66">
        <v>75</v>
      </c>
      <c r="J53" s="43"/>
      <c r="K53" s="66">
        <v>75</v>
      </c>
      <c r="L53" s="43"/>
      <c r="M53" s="66">
        <v>75</v>
      </c>
      <c r="N53" s="43"/>
      <c r="O53" s="66">
        <v>75</v>
      </c>
      <c r="P53" s="43"/>
      <c r="Q53" s="66">
        <v>75</v>
      </c>
      <c r="R53" s="43"/>
      <c r="S53" s="66">
        <v>75</v>
      </c>
      <c r="T53" s="43"/>
      <c r="U53" s="66">
        <v>75</v>
      </c>
      <c r="V53" s="43"/>
      <c r="W53" s="66">
        <v>75</v>
      </c>
      <c r="X53" s="43"/>
      <c r="Y53" s="66">
        <v>75</v>
      </c>
      <c r="Z53" s="43"/>
      <c r="AA53" s="18">
        <v>75</v>
      </c>
      <c r="AB53" s="251"/>
      <c r="AC53" s="66">
        <v>30</v>
      </c>
      <c r="AD53" s="78"/>
      <c r="AE53" s="18">
        <v>30</v>
      </c>
      <c r="AF53" s="143"/>
      <c r="AG53" s="18">
        <v>30</v>
      </c>
      <c r="AH53" s="143"/>
      <c r="AI53" s="18">
        <v>30</v>
      </c>
      <c r="AJ53" s="143"/>
      <c r="AK53" s="26" t="s">
        <v>78</v>
      </c>
      <c r="AL53" s="143"/>
      <c r="AM53" s="26" t="s">
        <v>78</v>
      </c>
      <c r="AN53" s="143"/>
      <c r="AO53" s="26" t="s">
        <v>78</v>
      </c>
      <c r="AP53" s="143"/>
      <c r="AQ53" s="26" t="s">
        <v>78</v>
      </c>
      <c r="AR53" s="143"/>
      <c r="AS53" s="26" t="s">
        <v>78</v>
      </c>
      <c r="AU53" s="26" t="s">
        <v>78</v>
      </c>
      <c r="AV53" s="26"/>
      <c r="AX53" s="18" t="s">
        <v>84</v>
      </c>
    </row>
    <row r="54" spans="2:50" ht="6" customHeight="1">
      <c r="B54" s="34"/>
      <c r="C54" s="34"/>
      <c r="D54" s="56"/>
      <c r="E54" s="84"/>
      <c r="F54" s="130"/>
      <c r="G54" s="84"/>
      <c r="H54" s="130"/>
      <c r="I54" s="84"/>
      <c r="J54" s="130"/>
      <c r="K54" s="84"/>
      <c r="L54" s="130"/>
      <c r="M54" s="84"/>
      <c r="N54" s="130"/>
      <c r="O54" s="84"/>
      <c r="P54" s="130"/>
      <c r="Q54" s="84"/>
      <c r="R54" s="130"/>
      <c r="S54" s="84"/>
      <c r="T54" s="130"/>
      <c r="U54" s="84"/>
      <c r="V54" s="130"/>
      <c r="W54" s="84"/>
      <c r="X54" s="130"/>
      <c r="Y54" s="84"/>
      <c r="Z54" s="130"/>
      <c r="AA54" s="56"/>
      <c r="AB54" s="77"/>
      <c r="AC54" s="84"/>
      <c r="AD54" s="77"/>
      <c r="AE54" s="56"/>
      <c r="AF54" s="77"/>
      <c r="AG54" s="56"/>
      <c r="AH54" s="77"/>
      <c r="AI54" s="56"/>
      <c r="AJ54" s="77"/>
      <c r="AK54" s="56"/>
      <c r="AL54" s="77"/>
      <c r="AM54" s="56"/>
      <c r="AN54" s="77"/>
      <c r="AO54" s="56"/>
      <c r="AP54" s="77"/>
      <c r="AQ54" s="56"/>
      <c r="AR54" s="77"/>
      <c r="AS54" s="77"/>
      <c r="AT54" s="77"/>
      <c r="AU54" s="77"/>
      <c r="AV54" s="77"/>
      <c r="AW54" s="77"/>
      <c r="AX54" s="56"/>
    </row>
    <row r="55" spans="2:50" ht="6" customHeight="1">
      <c r="B55" s="42"/>
      <c r="C55" s="42"/>
      <c r="D55" s="24"/>
      <c r="E55" s="17"/>
      <c r="G55" s="17"/>
      <c r="I55" s="17"/>
      <c r="K55" s="17"/>
      <c r="M55" s="17"/>
      <c r="O55" s="17"/>
      <c r="Q55" s="17"/>
      <c r="S55" s="17"/>
      <c r="U55" s="17"/>
      <c r="W55" s="17"/>
      <c r="Y55" s="17"/>
      <c r="AA55" s="16"/>
      <c r="AC55" s="17"/>
      <c r="AE55" s="16"/>
      <c r="AG55" s="16"/>
      <c r="AI55" s="16"/>
      <c r="AK55" s="16"/>
      <c r="AM55" s="16"/>
      <c r="AO55" s="16"/>
      <c r="AQ55" s="16"/>
      <c r="AX55" s="24"/>
    </row>
    <row r="56" spans="2:50" ht="10.5" customHeight="1">
      <c r="B56" s="42"/>
      <c r="C56" s="42"/>
      <c r="D56" s="63" t="s">
        <v>270</v>
      </c>
      <c r="AB56" s="27"/>
      <c r="AD56" s="27"/>
      <c r="AF56" s="27"/>
      <c r="AH56" s="27"/>
      <c r="AJ56" s="27"/>
      <c r="AL56" s="27"/>
      <c r="AN56" s="27"/>
      <c r="AP56" s="27"/>
      <c r="AR56" s="27"/>
      <c r="AS56" s="17"/>
      <c r="AT56" s="17"/>
      <c r="AU56" s="17"/>
      <c r="AV56" s="17"/>
      <c r="AW56" s="17"/>
      <c r="AX56" s="63" t="s">
        <v>271</v>
      </c>
    </row>
    <row r="57" spans="2:50" ht="10.5" customHeight="1">
      <c r="B57" s="42">
        <v>4</v>
      </c>
      <c r="C57" s="42"/>
      <c r="D57" s="16" t="s">
        <v>113</v>
      </c>
      <c r="E57" s="17" t="s">
        <v>78</v>
      </c>
      <c r="F57" s="23"/>
      <c r="G57" s="17" t="s">
        <v>78</v>
      </c>
      <c r="I57" s="17">
        <v>16</v>
      </c>
      <c r="K57" s="17">
        <v>12</v>
      </c>
      <c r="M57" s="17">
        <v>12</v>
      </c>
      <c r="O57" s="17">
        <v>12</v>
      </c>
      <c r="Q57" s="17">
        <v>12</v>
      </c>
      <c r="S57" s="17">
        <v>12</v>
      </c>
      <c r="U57" s="17">
        <v>12</v>
      </c>
      <c r="W57" s="17">
        <v>12</v>
      </c>
      <c r="Y57" s="17">
        <v>12</v>
      </c>
      <c r="AA57" s="16">
        <v>19</v>
      </c>
      <c r="AB57" s="78"/>
      <c r="AC57" s="17">
        <v>22</v>
      </c>
      <c r="AD57" s="78"/>
      <c r="AE57" s="16">
        <v>22</v>
      </c>
      <c r="AF57" s="27"/>
      <c r="AG57" s="16">
        <v>24</v>
      </c>
      <c r="AH57" s="27"/>
      <c r="AI57" s="16">
        <v>23</v>
      </c>
      <c r="AJ57" s="78"/>
      <c r="AK57" s="16">
        <v>17</v>
      </c>
      <c r="AL57" s="23"/>
      <c r="AM57" s="16">
        <v>18</v>
      </c>
      <c r="AN57" s="27"/>
      <c r="AO57" s="16">
        <v>16</v>
      </c>
      <c r="AP57" s="27"/>
      <c r="AQ57" s="16">
        <v>13</v>
      </c>
      <c r="AR57" s="27"/>
      <c r="AS57" s="16">
        <v>15</v>
      </c>
      <c r="AT57" s="17"/>
      <c r="AU57" s="16">
        <v>15</v>
      </c>
      <c r="AV57" s="17"/>
      <c r="AW57" s="17"/>
      <c r="AX57" s="16" t="s">
        <v>128</v>
      </c>
    </row>
    <row r="58" spans="2:50" ht="10.5" customHeight="1">
      <c r="B58" s="42">
        <v>5</v>
      </c>
      <c r="C58" s="42"/>
      <c r="D58" s="16" t="s">
        <v>114</v>
      </c>
      <c r="E58" s="17" t="s">
        <v>78</v>
      </c>
      <c r="F58" s="23"/>
      <c r="G58" s="17" t="s">
        <v>78</v>
      </c>
      <c r="I58" s="17">
        <v>39</v>
      </c>
      <c r="K58" s="17">
        <v>48</v>
      </c>
      <c r="M58" s="17">
        <v>48</v>
      </c>
      <c r="O58" s="17">
        <v>48</v>
      </c>
      <c r="Q58" s="17">
        <v>48</v>
      </c>
      <c r="R58" s="27"/>
      <c r="S58" s="17">
        <v>48</v>
      </c>
      <c r="T58" s="27"/>
      <c r="U58" s="17">
        <v>48</v>
      </c>
      <c r="V58" s="27"/>
      <c r="W58" s="17">
        <v>48</v>
      </c>
      <c r="X58" s="27"/>
      <c r="Y58" s="17">
        <v>48</v>
      </c>
      <c r="Z58" s="27"/>
      <c r="AA58" s="16">
        <v>62</v>
      </c>
      <c r="AB58" s="78"/>
      <c r="AC58" s="17">
        <v>63</v>
      </c>
      <c r="AD58" s="78"/>
      <c r="AE58" s="16">
        <v>63</v>
      </c>
      <c r="AF58" s="27"/>
      <c r="AG58" s="16">
        <v>73</v>
      </c>
      <c r="AH58" s="27"/>
      <c r="AI58" s="28">
        <v>65</v>
      </c>
      <c r="AJ58" s="78"/>
      <c r="AK58" s="28">
        <v>66</v>
      </c>
      <c r="AL58" s="23"/>
      <c r="AM58" s="28">
        <v>68</v>
      </c>
      <c r="AN58" s="27"/>
      <c r="AO58" s="28">
        <v>71</v>
      </c>
      <c r="AP58" s="27"/>
      <c r="AQ58" s="16">
        <v>79</v>
      </c>
      <c r="AR58" s="27"/>
      <c r="AS58" s="16">
        <v>82</v>
      </c>
      <c r="AT58" s="17"/>
      <c r="AU58" s="25">
        <v>87</v>
      </c>
      <c r="AV58" s="17"/>
      <c r="AW58" s="17"/>
      <c r="AX58" s="16" t="s">
        <v>129</v>
      </c>
    </row>
    <row r="59" spans="2:50" ht="10.5" customHeight="1">
      <c r="B59" s="42">
        <v>6</v>
      </c>
      <c r="D59" s="18" t="s">
        <v>231</v>
      </c>
      <c r="E59" s="66">
        <v>50</v>
      </c>
      <c r="F59" s="69"/>
      <c r="G59" s="66">
        <v>55</v>
      </c>
      <c r="H59" s="69"/>
      <c r="I59" s="66">
        <v>55</v>
      </c>
      <c r="J59" s="69"/>
      <c r="K59" s="66">
        <v>60</v>
      </c>
      <c r="L59" s="69"/>
      <c r="M59" s="66">
        <v>60</v>
      </c>
      <c r="N59" s="69"/>
      <c r="O59" s="66">
        <v>60</v>
      </c>
      <c r="P59" s="69"/>
      <c r="Q59" s="66">
        <v>60</v>
      </c>
      <c r="R59" s="69"/>
      <c r="S59" s="66">
        <v>60</v>
      </c>
      <c r="T59" s="69"/>
      <c r="U59" s="66">
        <v>60</v>
      </c>
      <c r="V59" s="69"/>
      <c r="W59" s="66">
        <v>60</v>
      </c>
      <c r="X59" s="69"/>
      <c r="Y59" s="66">
        <v>60</v>
      </c>
      <c r="Z59" s="69"/>
      <c r="AA59" s="18">
        <v>81</v>
      </c>
      <c r="AB59" s="143"/>
      <c r="AC59" s="66">
        <v>85</v>
      </c>
      <c r="AD59" s="143"/>
      <c r="AE59" s="18">
        <v>85</v>
      </c>
      <c r="AG59" s="18">
        <v>97</v>
      </c>
      <c r="AI59" s="18">
        <v>88</v>
      </c>
      <c r="AJ59" s="143"/>
      <c r="AK59" s="18">
        <v>83</v>
      </c>
      <c r="AL59" s="23"/>
      <c r="AM59" s="18">
        <v>86</v>
      </c>
      <c r="AO59" s="18">
        <v>87</v>
      </c>
      <c r="AQ59" s="18">
        <v>92</v>
      </c>
      <c r="AS59" s="18">
        <v>97</v>
      </c>
      <c r="AU59" s="18">
        <v>102</v>
      </c>
      <c r="AX59" s="18" t="s">
        <v>84</v>
      </c>
    </row>
    <row r="60" spans="2:50" ht="6" customHeight="1">
      <c r="B60" s="34"/>
      <c r="C60" s="77"/>
      <c r="D60" s="56"/>
      <c r="E60" s="84"/>
      <c r="F60" s="131"/>
      <c r="G60" s="84"/>
      <c r="H60" s="131"/>
      <c r="I60" s="84"/>
      <c r="J60" s="131"/>
      <c r="K60" s="84"/>
      <c r="L60" s="131"/>
      <c r="M60" s="84"/>
      <c r="N60" s="131"/>
      <c r="O60" s="84"/>
      <c r="P60" s="131"/>
      <c r="Q60" s="84"/>
      <c r="R60" s="131"/>
      <c r="S60" s="84"/>
      <c r="T60" s="131"/>
      <c r="U60" s="84"/>
      <c r="V60" s="131"/>
      <c r="W60" s="84"/>
      <c r="X60" s="131"/>
      <c r="Y60" s="84"/>
      <c r="Z60" s="131"/>
      <c r="AA60" s="56"/>
      <c r="AB60" s="77"/>
      <c r="AC60" s="84"/>
      <c r="AD60" s="77"/>
      <c r="AE60" s="56"/>
      <c r="AF60" s="77"/>
      <c r="AG60" s="56"/>
      <c r="AH60" s="77"/>
      <c r="AI60" s="56"/>
      <c r="AJ60" s="77"/>
      <c r="AK60" s="56"/>
      <c r="AL60" s="77"/>
      <c r="AM60" s="56"/>
      <c r="AN60" s="77"/>
      <c r="AO60" s="56"/>
      <c r="AP60" s="77"/>
      <c r="AQ60" s="56"/>
      <c r="AR60" s="77"/>
      <c r="AS60" s="77"/>
      <c r="AT60" s="77"/>
      <c r="AU60" s="77"/>
      <c r="AV60" s="77"/>
      <c r="AW60" s="77"/>
      <c r="AX60" s="56"/>
    </row>
    <row r="61" spans="2:50" ht="6" customHeight="1">
      <c r="B61" s="42"/>
      <c r="D61" s="24"/>
      <c r="E61" s="17"/>
      <c r="G61" s="17"/>
      <c r="I61" s="17"/>
      <c r="K61" s="17"/>
      <c r="M61" s="17"/>
      <c r="O61" s="17"/>
      <c r="Q61" s="17"/>
      <c r="S61" s="17"/>
      <c r="U61" s="17"/>
      <c r="W61" s="17"/>
      <c r="Y61" s="17"/>
      <c r="AA61" s="16"/>
      <c r="AC61" s="17"/>
      <c r="AE61" s="16"/>
      <c r="AG61" s="16"/>
      <c r="AI61" s="16"/>
      <c r="AK61" s="16"/>
      <c r="AM61" s="16"/>
      <c r="AO61" s="16"/>
      <c r="AQ61" s="16"/>
      <c r="AX61" s="24"/>
    </row>
    <row r="62" spans="2:50" ht="10.5" customHeight="1">
      <c r="B62" s="42"/>
      <c r="C62" s="42"/>
      <c r="D62" s="63" t="s">
        <v>272</v>
      </c>
      <c r="AB62" s="27"/>
      <c r="AD62" s="27"/>
      <c r="AF62" s="27"/>
      <c r="AH62" s="27"/>
      <c r="AJ62" s="27"/>
      <c r="AL62" s="27"/>
      <c r="AN62" s="27"/>
      <c r="AP62" s="27"/>
      <c r="AR62" s="27"/>
      <c r="AS62" s="17"/>
      <c r="AT62" s="17"/>
      <c r="AU62" s="17"/>
      <c r="AV62" s="17"/>
      <c r="AW62" s="17"/>
      <c r="AX62" s="63" t="s">
        <v>273</v>
      </c>
    </row>
    <row r="63" spans="2:50" ht="10.5" customHeight="1">
      <c r="B63" s="42">
        <v>7</v>
      </c>
      <c r="C63" s="42"/>
      <c r="D63" s="16" t="s">
        <v>113</v>
      </c>
      <c r="E63" s="17" t="s">
        <v>78</v>
      </c>
      <c r="F63" s="23"/>
      <c r="G63" s="17" t="s">
        <v>78</v>
      </c>
      <c r="H63" s="27"/>
      <c r="I63" s="17">
        <v>23</v>
      </c>
      <c r="J63" s="27"/>
      <c r="K63" s="17">
        <v>19</v>
      </c>
      <c r="L63" s="27"/>
      <c r="M63" s="17">
        <v>19</v>
      </c>
      <c r="N63" s="27"/>
      <c r="O63" s="17">
        <v>19</v>
      </c>
      <c r="P63" s="27"/>
      <c r="Q63" s="17">
        <v>19</v>
      </c>
      <c r="R63" s="27"/>
      <c r="S63" s="17">
        <v>19</v>
      </c>
      <c r="T63" s="27"/>
      <c r="U63" s="17">
        <v>19</v>
      </c>
      <c r="V63" s="27"/>
      <c r="W63" s="17">
        <v>19</v>
      </c>
      <c r="X63" s="27"/>
      <c r="Y63" s="17">
        <v>19</v>
      </c>
      <c r="Z63" s="27"/>
      <c r="AA63" s="16">
        <v>26</v>
      </c>
      <c r="AB63" s="277"/>
      <c r="AC63" s="17">
        <v>25</v>
      </c>
      <c r="AD63" s="78"/>
      <c r="AE63" s="16">
        <v>25</v>
      </c>
      <c r="AF63" s="78"/>
      <c r="AG63" s="16">
        <v>27</v>
      </c>
      <c r="AH63" s="78"/>
      <c r="AI63" s="16">
        <v>26</v>
      </c>
      <c r="AJ63" s="78"/>
      <c r="AK63" s="26" t="s">
        <v>78</v>
      </c>
      <c r="AL63" s="78"/>
      <c r="AM63" s="26" t="s">
        <v>78</v>
      </c>
      <c r="AN63" s="78"/>
      <c r="AO63" s="26" t="s">
        <v>78</v>
      </c>
      <c r="AP63" s="78"/>
      <c r="AQ63" s="26" t="s">
        <v>78</v>
      </c>
      <c r="AR63" s="78"/>
      <c r="AS63" s="26" t="s">
        <v>78</v>
      </c>
      <c r="AT63" s="17"/>
      <c r="AU63" s="26" t="s">
        <v>78</v>
      </c>
      <c r="AV63" s="26"/>
      <c r="AW63" s="17"/>
      <c r="AX63" s="16" t="s">
        <v>128</v>
      </c>
    </row>
    <row r="64" spans="2:50" ht="10.5" customHeight="1">
      <c r="B64" s="42">
        <v>8</v>
      </c>
      <c r="C64" s="42"/>
      <c r="D64" s="16" t="s">
        <v>114</v>
      </c>
      <c r="E64" s="17" t="s">
        <v>78</v>
      </c>
      <c r="F64" s="23"/>
      <c r="G64" s="17" t="s">
        <v>78</v>
      </c>
      <c r="I64" s="17">
        <v>107</v>
      </c>
      <c r="K64" s="17">
        <v>116</v>
      </c>
      <c r="M64" s="17">
        <v>116</v>
      </c>
      <c r="O64" s="17">
        <v>116</v>
      </c>
      <c r="Q64" s="17">
        <v>116</v>
      </c>
      <c r="R64" s="27"/>
      <c r="S64" s="17">
        <v>116</v>
      </c>
      <c r="T64" s="27"/>
      <c r="U64" s="17">
        <v>116</v>
      </c>
      <c r="V64" s="27"/>
      <c r="W64" s="17">
        <v>116</v>
      </c>
      <c r="X64" s="27"/>
      <c r="Y64" s="17">
        <v>116</v>
      </c>
      <c r="Z64" s="27"/>
      <c r="AA64" s="16">
        <v>130</v>
      </c>
      <c r="AB64" s="277"/>
      <c r="AC64" s="17">
        <v>90</v>
      </c>
      <c r="AD64" s="78"/>
      <c r="AE64" s="16">
        <v>90</v>
      </c>
      <c r="AF64" s="78"/>
      <c r="AG64" s="16">
        <v>100</v>
      </c>
      <c r="AH64" s="78"/>
      <c r="AI64" s="16">
        <v>92</v>
      </c>
      <c r="AJ64" s="78"/>
      <c r="AK64" s="26" t="s">
        <v>78</v>
      </c>
      <c r="AL64" s="78"/>
      <c r="AM64" s="26" t="s">
        <v>78</v>
      </c>
      <c r="AN64" s="78"/>
      <c r="AO64" s="26" t="s">
        <v>78</v>
      </c>
      <c r="AP64" s="78"/>
      <c r="AQ64" s="26" t="s">
        <v>78</v>
      </c>
      <c r="AR64" s="78"/>
      <c r="AS64" s="26" t="s">
        <v>78</v>
      </c>
      <c r="AT64" s="17"/>
      <c r="AU64" s="26" t="s">
        <v>78</v>
      </c>
      <c r="AV64" s="26"/>
      <c r="AW64" s="17"/>
      <c r="AX64" s="16" t="s">
        <v>129</v>
      </c>
    </row>
    <row r="65" spans="2:50" ht="10.5" customHeight="1">
      <c r="B65" s="42">
        <v>9</v>
      </c>
      <c r="C65" s="42"/>
      <c r="D65" s="18" t="s">
        <v>68</v>
      </c>
      <c r="E65" s="66">
        <v>124</v>
      </c>
      <c r="F65" s="69"/>
      <c r="G65" s="66">
        <v>129</v>
      </c>
      <c r="H65" s="69"/>
      <c r="I65" s="66">
        <v>130</v>
      </c>
      <c r="J65" s="69"/>
      <c r="K65" s="66">
        <v>135</v>
      </c>
      <c r="L65" s="69"/>
      <c r="M65" s="66">
        <v>135</v>
      </c>
      <c r="N65" s="69"/>
      <c r="O65" s="66">
        <v>135</v>
      </c>
      <c r="P65" s="69"/>
      <c r="Q65" s="66">
        <v>135</v>
      </c>
      <c r="R65" s="69"/>
      <c r="S65" s="66">
        <v>135</v>
      </c>
      <c r="T65" s="69"/>
      <c r="U65" s="66">
        <v>135</v>
      </c>
      <c r="V65" s="69"/>
      <c r="W65" s="66">
        <v>135</v>
      </c>
      <c r="X65" s="69"/>
      <c r="Y65" s="66">
        <v>135</v>
      </c>
      <c r="Z65" s="69"/>
      <c r="AA65" s="18">
        <v>156</v>
      </c>
      <c r="AB65" s="278"/>
      <c r="AC65" s="66">
        <v>115</v>
      </c>
      <c r="AD65" s="143"/>
      <c r="AE65" s="18">
        <v>115</v>
      </c>
      <c r="AF65" s="143"/>
      <c r="AG65" s="18">
        <v>127</v>
      </c>
      <c r="AH65" s="143"/>
      <c r="AI65" s="18">
        <v>118</v>
      </c>
      <c r="AJ65" s="143"/>
      <c r="AK65" s="26" t="s">
        <v>78</v>
      </c>
      <c r="AL65" s="143"/>
      <c r="AM65" s="26" t="s">
        <v>78</v>
      </c>
      <c r="AN65" s="143"/>
      <c r="AO65" s="26" t="s">
        <v>78</v>
      </c>
      <c r="AP65" s="143"/>
      <c r="AQ65" s="26" t="s">
        <v>78</v>
      </c>
      <c r="AR65" s="143"/>
      <c r="AS65" s="26" t="s">
        <v>78</v>
      </c>
      <c r="AT65" s="17"/>
      <c r="AU65" s="26" t="s">
        <v>78</v>
      </c>
      <c r="AV65" s="26"/>
      <c r="AW65" s="17"/>
      <c r="AX65" s="18" t="s">
        <v>274</v>
      </c>
    </row>
    <row r="66" spans="2:50" ht="6" customHeight="1">
      <c r="B66" s="80"/>
      <c r="C66" s="80"/>
      <c r="D66" s="46"/>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46"/>
    </row>
    <row r="67" spans="2:50">
      <c r="B67" s="52"/>
    </row>
    <row r="71" spans="2:50">
      <c r="B71" s="150"/>
    </row>
  </sheetData>
  <mergeCells count="19">
    <mergeCell ref="AA28:AB28"/>
    <mergeCell ref="B38:AX38"/>
    <mergeCell ref="AQ28:AR28"/>
    <mergeCell ref="O28:P28"/>
    <mergeCell ref="Y28:Z28"/>
    <mergeCell ref="AO28:AP28"/>
    <mergeCell ref="AM28:AN28"/>
    <mergeCell ref="B8:D8"/>
    <mergeCell ref="B47:D47"/>
    <mergeCell ref="W28:X28"/>
    <mergeCell ref="B28:D28"/>
    <mergeCell ref="S28:T28"/>
    <mergeCell ref="U28:V28"/>
    <mergeCell ref="Q28:R28"/>
    <mergeCell ref="E28:F28"/>
    <mergeCell ref="G28:H28"/>
    <mergeCell ref="I28:J28"/>
    <mergeCell ref="K28:L28"/>
    <mergeCell ref="M28:N28"/>
  </mergeCells>
  <printOptions horizontalCentered="1"/>
  <pageMargins left="0" right="0" top="0" bottom="0" header="0" footer="0"/>
  <pageSetup paperSize="9" scale="88"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FN44"/>
  <sheetViews>
    <sheetView zoomScaleNormal="100" workbookViewId="0"/>
  </sheetViews>
  <sheetFormatPr defaultColWidth="9.109375" defaultRowHeight="13.8" outlineLevelCol="1"/>
  <cols>
    <col min="1" max="1" width="0.88671875" style="11" customWidth="1"/>
    <col min="2" max="2" width="1.33203125" style="11" customWidth="1"/>
    <col min="3" max="3" width="19.33203125" style="11" customWidth="1"/>
    <col min="4" max="4" width="1.33203125" style="11" customWidth="1"/>
    <col min="5" max="5" width="9.109375" style="11" hidden="1" customWidth="1" outlineLevel="1"/>
    <col min="6" max="7" width="1.33203125" style="11" hidden="1" customWidth="1" outlineLevel="1"/>
    <col min="8" max="8" width="9.109375" style="11" hidden="1" customWidth="1" outlineLevel="1"/>
    <col min="9" max="10" width="1.33203125" style="11" hidden="1" customWidth="1" outlineLevel="1"/>
    <col min="11" max="11" width="9.109375" style="11" hidden="1" customWidth="1" outlineLevel="1"/>
    <col min="12" max="13" width="1.33203125" style="11" hidden="1" customWidth="1" outlineLevel="1"/>
    <col min="14" max="14" width="9.109375" style="11" hidden="1" customWidth="1" outlineLevel="1"/>
    <col min="15" max="16" width="1.33203125" style="11" hidden="1" customWidth="1" outlineLevel="1"/>
    <col min="17" max="17" width="10.109375" style="11" hidden="1" customWidth="1" outlineLevel="1"/>
    <col min="18" max="19" width="1.33203125" style="11" hidden="1" customWidth="1" outlineLevel="1"/>
    <col min="20" max="20" width="9.109375" style="11" hidden="1" customWidth="1" outlineLevel="1"/>
    <col min="21" max="22" width="1.33203125" style="11" hidden="1" customWidth="1" outlineLevel="1"/>
    <col min="23" max="23" width="9.109375" style="11" hidden="1" customWidth="1" outlineLevel="1"/>
    <col min="24" max="25" width="1.33203125" style="11" hidden="1" customWidth="1" outlineLevel="1"/>
    <col min="26" max="26" width="9.109375" style="11" hidden="1" customWidth="1" outlineLevel="1"/>
    <col min="27" max="28" width="1.33203125" style="11" hidden="1" customWidth="1" outlineLevel="1"/>
    <col min="29" max="29" width="9.109375" style="11" hidden="1" customWidth="1" outlineLevel="1"/>
    <col min="30" max="31" width="1.33203125" style="11" hidden="1" customWidth="1" outlineLevel="1"/>
    <col min="32" max="32" width="9.109375" style="11" hidden="1" customWidth="1" outlineLevel="1"/>
    <col min="33" max="34" width="1.33203125" style="11" hidden="1" customWidth="1" outlineLevel="1"/>
    <col min="35" max="35" width="10.109375" style="11" hidden="1" customWidth="1" outlineLevel="1"/>
    <col min="36" max="37" width="1.33203125" style="11" hidden="1" customWidth="1" outlineLevel="1"/>
    <col min="38" max="38" width="9.109375" style="11" hidden="1" customWidth="1" outlineLevel="1"/>
    <col min="39" max="40" width="1.33203125" style="11" hidden="1" customWidth="1" outlineLevel="1"/>
    <col min="41" max="41" width="9.109375" style="11" hidden="1" customWidth="1" outlineLevel="1"/>
    <col min="42" max="43" width="1.33203125" style="11" hidden="1" customWidth="1" outlineLevel="1"/>
    <col min="44" max="44" width="9.109375" style="11" hidden="1" customWidth="1" outlineLevel="1"/>
    <col min="45" max="46" width="1.33203125" style="11" hidden="1" customWidth="1" outlineLevel="1"/>
    <col min="47" max="47" width="9.109375" style="11" hidden="1" customWidth="1" outlineLevel="1"/>
    <col min="48" max="49" width="1.33203125" style="11" hidden="1" customWidth="1" outlineLevel="1"/>
    <col min="50" max="50" width="9.109375" style="11" hidden="1" customWidth="1" outlineLevel="1"/>
    <col min="51" max="52" width="1.33203125" style="11" hidden="1" customWidth="1" outlineLevel="1"/>
    <col min="53" max="53" width="10.109375" style="11" hidden="1" customWidth="1" outlineLevel="1"/>
    <col min="54" max="55" width="1.33203125" style="11" hidden="1" customWidth="1" outlineLevel="1"/>
    <col min="56" max="56" width="9.109375" style="11" hidden="1" customWidth="1" outlineLevel="1"/>
    <col min="57" max="58" width="1.33203125" style="11" hidden="1" customWidth="1" outlineLevel="1"/>
    <col min="59" max="59" width="9.109375" style="11" hidden="1" customWidth="1" outlineLevel="1"/>
    <col min="60" max="61" width="1.33203125" style="11" hidden="1" customWidth="1" outlineLevel="1"/>
    <col min="62" max="62" width="9.109375" style="11" hidden="1" customWidth="1" outlineLevel="1"/>
    <col min="63" max="64" width="1.33203125" style="11" hidden="1" customWidth="1" outlineLevel="1"/>
    <col min="65" max="65" width="9.109375" style="11" hidden="1" customWidth="1" outlineLevel="1"/>
    <col min="66" max="67" width="1.33203125" style="11" hidden="1" customWidth="1" outlineLevel="1"/>
    <col min="68" max="68" width="9.109375" style="11" hidden="1" customWidth="1" outlineLevel="1"/>
    <col min="69" max="70" width="1.33203125" style="11" hidden="1" customWidth="1" outlineLevel="1"/>
    <col min="71" max="71" width="10.109375" style="11" hidden="1" customWidth="1" outlineLevel="1"/>
    <col min="72" max="73" width="1.33203125" style="11" hidden="1" customWidth="1" outlineLevel="1"/>
    <col min="74" max="74" width="9.109375" style="11" hidden="1" customWidth="1" outlineLevel="1"/>
    <col min="75" max="76" width="1.33203125" style="11" hidden="1" customWidth="1" outlineLevel="1"/>
    <col min="77" max="77" width="9.109375" style="11" hidden="1" customWidth="1" outlineLevel="1"/>
    <col min="78" max="79" width="1.33203125" style="11" hidden="1" customWidth="1" outlineLevel="1"/>
    <col min="80" max="80" width="9.109375" style="11" hidden="1" customWidth="1" outlineLevel="1"/>
    <col min="81" max="82" width="1.33203125" style="11" hidden="1" customWidth="1" outlineLevel="1"/>
    <col min="83" max="83" width="9.109375" style="11" hidden="1" customWidth="1" outlineLevel="1"/>
    <col min="84" max="85" width="1.33203125" style="11" hidden="1" customWidth="1" outlineLevel="1"/>
    <col min="86" max="86" width="9.109375" style="11" hidden="1" customWidth="1" outlineLevel="1"/>
    <col min="87" max="88" width="1.33203125" style="11" hidden="1" customWidth="1" outlineLevel="1"/>
    <col min="89" max="89" width="10.109375" style="11" hidden="1" customWidth="1" outlineLevel="1"/>
    <col min="90" max="91" width="1.33203125" style="11" hidden="1" customWidth="1" outlineLevel="1"/>
    <col min="92" max="92" width="9.109375" style="11" hidden="1" customWidth="1" outlineLevel="1"/>
    <col min="93" max="95" width="1.33203125" style="11" hidden="1" customWidth="1" outlineLevel="1"/>
    <col min="96" max="96" width="9.109375" style="11" hidden="1" customWidth="1" outlineLevel="1"/>
    <col min="97" max="98" width="1.33203125" style="11" hidden="1" customWidth="1" outlineLevel="1"/>
    <col min="99" max="99" width="9.109375" style="11" hidden="1" customWidth="1" outlineLevel="1"/>
    <col min="100" max="101" width="1.33203125" style="11" hidden="1" customWidth="1" outlineLevel="1"/>
    <col min="102" max="102" width="9.109375" style="11" hidden="1" customWidth="1" outlineLevel="1"/>
    <col min="103" max="104" width="1.33203125" style="11" hidden="1" customWidth="1" outlineLevel="1"/>
    <col min="105" max="105" width="9.109375" style="11" hidden="1" customWidth="1" outlineLevel="1"/>
    <col min="106" max="107" width="1.33203125" style="11" hidden="1" customWidth="1" outlineLevel="1"/>
    <col min="108" max="108" width="10.109375" style="11" hidden="1" customWidth="1" outlineLevel="1"/>
    <col min="109" max="110" width="1.33203125" style="11" hidden="1" customWidth="1" outlineLevel="1"/>
    <col min="111" max="111" width="9.109375" style="11" hidden="1" customWidth="1" outlineLevel="1"/>
    <col min="112" max="113" width="1.33203125" style="11" hidden="1" customWidth="1" outlineLevel="1"/>
    <col min="114" max="114" width="9.109375" style="11" hidden="1" customWidth="1" outlineLevel="1"/>
    <col min="115" max="116" width="1.33203125" style="11" hidden="1" customWidth="1" outlineLevel="1"/>
    <col min="117" max="117" width="9.109375" style="11" hidden="1" customWidth="1" outlineLevel="1"/>
    <col min="118" max="119" width="1.33203125" style="11" hidden="1" customWidth="1" outlineLevel="1"/>
    <col min="120" max="120" width="9.109375" style="11" hidden="1" customWidth="1" outlineLevel="1"/>
    <col min="121" max="122" width="1.33203125" style="11" hidden="1" customWidth="1" outlineLevel="1"/>
    <col min="123" max="123" width="9.109375" style="11" hidden="1" customWidth="1" outlineLevel="1"/>
    <col min="124" max="125" width="1.33203125" style="11" hidden="1" customWidth="1" outlineLevel="1"/>
    <col min="126" max="126" width="10.109375" style="11" hidden="1" customWidth="1" outlineLevel="1"/>
    <col min="127" max="128" width="1.33203125" style="11" hidden="1" customWidth="1" outlineLevel="1"/>
    <col min="129" max="129" width="9.109375" style="11" hidden="1" customWidth="1" outlineLevel="1"/>
    <col min="130" max="131" width="1.33203125" style="11" hidden="1" customWidth="1" outlineLevel="1"/>
    <col min="132" max="132" width="9.109375" style="11" hidden="1" customWidth="1" outlineLevel="1"/>
    <col min="133" max="134" width="1.33203125" style="11" hidden="1" customWidth="1" outlineLevel="1"/>
    <col min="135" max="135" width="9.109375" style="11" hidden="1" customWidth="1" outlineLevel="1"/>
    <col min="136" max="137" width="1.33203125" style="11" hidden="1" customWidth="1" outlineLevel="1"/>
    <col min="138" max="138" width="9.109375" style="11" hidden="1" customWidth="1" outlineLevel="1"/>
    <col min="139" max="140" width="1.33203125" style="11" hidden="1" customWidth="1" outlineLevel="1"/>
    <col min="141" max="141" width="9.109375" style="11" hidden="1" customWidth="1" outlineLevel="1"/>
    <col min="142" max="143" width="1.33203125" style="11" hidden="1" customWidth="1" outlineLevel="1"/>
    <col min="144" max="144" width="10.109375" style="11" hidden="1" customWidth="1" outlineLevel="1"/>
    <col min="145" max="146" width="1.33203125" style="11" hidden="1" customWidth="1" outlineLevel="1"/>
    <col min="147" max="147" width="9.109375" style="11" hidden="1" customWidth="1" outlineLevel="1"/>
    <col min="148" max="150" width="1.33203125" style="11" hidden="1" customWidth="1" outlineLevel="1"/>
    <col min="151" max="151" width="9.109375" style="11" customWidth="1" collapsed="1"/>
    <col min="152" max="153" width="1.33203125" style="11" customWidth="1"/>
    <col min="154" max="154" width="9.109375" style="11" customWidth="1"/>
    <col min="155" max="156" width="1.33203125" style="11" customWidth="1"/>
    <col min="157" max="157" width="9.109375" style="11" customWidth="1"/>
    <col min="158" max="159" width="1.33203125" style="11" customWidth="1"/>
    <col min="160" max="160" width="9.109375" style="11" customWidth="1"/>
    <col min="161" max="162" width="1.33203125" style="11" customWidth="1"/>
    <col min="163" max="163" width="10.109375" style="11" customWidth="1"/>
    <col min="164" max="165" width="1.33203125" style="11" customWidth="1"/>
    <col min="166" max="166" width="9.109375" style="11" customWidth="1"/>
    <col min="167" max="167" width="1.33203125" style="11" customWidth="1"/>
    <col min="168" max="169" width="9.109375" style="11"/>
    <col min="170" max="170" width="13" style="11" bestFit="1" customWidth="1"/>
    <col min="171" max="16384" width="9.109375" style="11"/>
  </cols>
  <sheetData>
    <row r="1" spans="2:170">
      <c r="B1" s="10" t="s">
        <v>1084</v>
      </c>
    </row>
    <row r="2" spans="2:170">
      <c r="B2" s="156" t="s">
        <v>1085</v>
      </c>
    </row>
    <row r="3" spans="2:170" ht="6.6" customHeight="1">
      <c r="B3" s="13"/>
      <c r="C3" s="13"/>
      <c r="D3" s="13"/>
      <c r="E3" s="13"/>
      <c r="F3" s="13"/>
      <c r="G3" s="13"/>
      <c r="H3" s="13"/>
      <c r="I3" s="13"/>
      <c r="J3" s="13"/>
      <c r="K3" s="13"/>
      <c r="L3" s="13"/>
      <c r="M3" s="13"/>
      <c r="N3" s="13"/>
      <c r="O3" s="13"/>
      <c r="P3" s="13"/>
      <c r="Q3" s="13"/>
      <c r="R3" s="13"/>
      <c r="S3" s="13"/>
      <c r="T3" s="13"/>
      <c r="U3" s="13"/>
      <c r="W3" s="13"/>
      <c r="X3" s="13"/>
      <c r="Y3" s="13"/>
      <c r="Z3" s="13"/>
      <c r="AA3" s="13"/>
      <c r="AB3" s="13"/>
      <c r="AC3" s="13"/>
      <c r="AD3" s="13"/>
      <c r="AE3" s="13"/>
      <c r="AF3" s="13"/>
      <c r="AG3" s="13"/>
      <c r="AH3" s="13"/>
      <c r="AI3" s="13"/>
      <c r="AJ3" s="13"/>
      <c r="AK3" s="13"/>
      <c r="AL3" s="13"/>
      <c r="AM3" s="13"/>
      <c r="AO3" s="13"/>
      <c r="AP3" s="13"/>
      <c r="AQ3" s="13"/>
      <c r="AR3" s="13"/>
      <c r="AS3" s="13"/>
      <c r="AT3" s="13"/>
      <c r="AU3" s="13"/>
      <c r="AV3" s="13"/>
      <c r="AW3" s="13"/>
      <c r="AX3" s="13"/>
      <c r="AY3" s="13"/>
      <c r="AZ3" s="13"/>
      <c r="BA3" s="13"/>
      <c r="BB3" s="13"/>
      <c r="BC3" s="13"/>
      <c r="BD3" s="13"/>
      <c r="BE3" s="13"/>
      <c r="BG3" s="13"/>
      <c r="BH3" s="13"/>
      <c r="BI3" s="13"/>
      <c r="BJ3" s="13"/>
      <c r="BK3" s="13"/>
      <c r="BL3" s="13"/>
      <c r="BM3" s="13"/>
      <c r="BN3" s="13"/>
      <c r="BO3" s="13"/>
      <c r="BP3" s="13"/>
      <c r="BQ3" s="13"/>
      <c r="BR3" s="13"/>
      <c r="BS3" s="13"/>
      <c r="BT3" s="13"/>
      <c r="BU3" s="13"/>
      <c r="BV3" s="13"/>
      <c r="BW3" s="13"/>
      <c r="BY3" s="13"/>
      <c r="BZ3" s="13"/>
      <c r="CA3" s="13"/>
      <c r="CB3" s="13"/>
      <c r="CC3" s="13"/>
      <c r="CD3" s="13"/>
      <c r="CE3" s="13"/>
      <c r="CF3" s="13"/>
      <c r="CG3" s="13"/>
      <c r="CH3" s="13"/>
      <c r="CI3" s="13"/>
      <c r="CJ3" s="13"/>
      <c r="CK3" s="13"/>
      <c r="CL3" s="13"/>
      <c r="CM3" s="13"/>
      <c r="CN3" s="13"/>
      <c r="CO3" s="13"/>
      <c r="CP3" s="13"/>
      <c r="CR3" s="13"/>
      <c r="CS3" s="13"/>
      <c r="CT3" s="13"/>
      <c r="CU3" s="13"/>
      <c r="CV3" s="13"/>
      <c r="CW3" s="13"/>
      <c r="CX3" s="13"/>
      <c r="CY3" s="13"/>
      <c r="CZ3" s="13"/>
      <c r="DA3" s="13"/>
      <c r="DB3" s="13"/>
      <c r="DC3" s="13"/>
      <c r="DD3" s="13"/>
      <c r="DE3" s="13"/>
      <c r="DF3" s="13"/>
      <c r="DG3" s="13"/>
      <c r="DH3" s="13"/>
      <c r="DJ3" s="13"/>
      <c r="DK3" s="13"/>
      <c r="DL3" s="13"/>
      <c r="DM3" s="13"/>
      <c r="DN3" s="13"/>
      <c r="DO3" s="13"/>
      <c r="DP3" s="13"/>
      <c r="DQ3" s="13"/>
      <c r="DR3" s="13"/>
      <c r="DS3" s="13"/>
      <c r="DT3" s="13"/>
      <c r="DU3" s="13"/>
      <c r="DV3" s="13"/>
      <c r="DW3" s="13"/>
      <c r="DX3" s="13"/>
      <c r="DY3" s="13"/>
      <c r="DZ3" s="13"/>
      <c r="EB3" s="13"/>
      <c r="EC3" s="13"/>
      <c r="ED3" s="13"/>
      <c r="EE3" s="13"/>
      <c r="EF3" s="13"/>
      <c r="EG3" s="13"/>
      <c r="EH3" s="13"/>
      <c r="EI3" s="13"/>
      <c r="EJ3" s="13"/>
      <c r="EK3" s="13"/>
      <c r="EL3" s="13"/>
      <c r="EM3" s="13"/>
      <c r="EN3" s="13"/>
      <c r="EO3" s="13"/>
      <c r="EP3" s="13"/>
      <c r="EQ3" s="13"/>
      <c r="ER3" s="13"/>
      <c r="ES3" s="13"/>
      <c r="EU3" s="13"/>
      <c r="EV3" s="13"/>
      <c r="EW3" s="13"/>
      <c r="EX3" s="13"/>
      <c r="EY3" s="13"/>
      <c r="EZ3" s="13"/>
      <c r="FA3" s="13"/>
      <c r="FB3" s="13"/>
      <c r="FC3" s="13"/>
      <c r="FD3" s="13"/>
      <c r="FE3" s="13"/>
      <c r="FF3" s="13"/>
      <c r="FG3" s="13"/>
      <c r="FH3" s="13"/>
      <c r="FI3" s="13"/>
      <c r="FJ3" s="13"/>
      <c r="FK3" s="13"/>
    </row>
    <row r="4" spans="2:170" ht="6.6" customHeight="1"/>
    <row r="5" spans="2:170" ht="14.25" customHeight="1">
      <c r="E5" s="514">
        <v>2013</v>
      </c>
      <c r="F5" s="514"/>
      <c r="G5" s="514"/>
      <c r="H5" s="514"/>
      <c r="I5" s="514"/>
      <c r="J5" s="514"/>
      <c r="K5" s="514"/>
      <c r="L5" s="514"/>
      <c r="M5" s="514"/>
      <c r="N5" s="514"/>
      <c r="O5" s="514"/>
      <c r="P5" s="514"/>
      <c r="Q5" s="514"/>
      <c r="R5" s="514"/>
      <c r="S5" s="514"/>
      <c r="T5" s="514"/>
      <c r="U5" s="514"/>
      <c r="V5" s="42"/>
      <c r="W5" s="514">
        <v>2014</v>
      </c>
      <c r="X5" s="514"/>
      <c r="Y5" s="514"/>
      <c r="Z5" s="514"/>
      <c r="AA5" s="514"/>
      <c r="AB5" s="514"/>
      <c r="AC5" s="514"/>
      <c r="AD5" s="514"/>
      <c r="AE5" s="514"/>
      <c r="AF5" s="514"/>
      <c r="AG5" s="514"/>
      <c r="AH5" s="514"/>
      <c r="AI5" s="514"/>
      <c r="AJ5" s="514"/>
      <c r="AK5" s="514"/>
      <c r="AL5" s="514"/>
      <c r="AM5" s="514"/>
      <c r="AN5" s="42"/>
      <c r="AO5" s="514">
        <v>2015</v>
      </c>
      <c r="AP5" s="514"/>
      <c r="AQ5" s="514"/>
      <c r="AR5" s="514"/>
      <c r="AS5" s="514"/>
      <c r="AT5" s="514"/>
      <c r="AU5" s="514"/>
      <c r="AV5" s="514"/>
      <c r="AW5" s="514"/>
      <c r="AX5" s="514"/>
      <c r="AY5" s="514"/>
      <c r="AZ5" s="514"/>
      <c r="BA5" s="514"/>
      <c r="BB5" s="514"/>
      <c r="BC5" s="514"/>
      <c r="BD5" s="514"/>
      <c r="BE5" s="514"/>
      <c r="BF5" s="42"/>
      <c r="BG5" s="514">
        <v>2016</v>
      </c>
      <c r="BH5" s="514"/>
      <c r="BI5" s="514"/>
      <c r="BJ5" s="514"/>
      <c r="BK5" s="514"/>
      <c r="BL5" s="514"/>
      <c r="BM5" s="514"/>
      <c r="BN5" s="514"/>
      <c r="BO5" s="514"/>
      <c r="BP5" s="514"/>
      <c r="BQ5" s="514"/>
      <c r="BR5" s="514"/>
      <c r="BS5" s="514"/>
      <c r="BT5" s="514"/>
      <c r="BU5" s="514"/>
      <c r="BV5" s="514"/>
      <c r="BW5" s="514"/>
      <c r="BX5" s="42"/>
      <c r="BY5" s="514">
        <v>2017</v>
      </c>
      <c r="BZ5" s="514"/>
      <c r="CA5" s="514"/>
      <c r="CB5" s="514"/>
      <c r="CC5" s="514"/>
      <c r="CD5" s="514"/>
      <c r="CE5" s="514"/>
      <c r="CF5" s="514"/>
      <c r="CG5" s="514"/>
      <c r="CH5" s="514"/>
      <c r="CI5" s="514"/>
      <c r="CJ5" s="514"/>
      <c r="CK5" s="514"/>
      <c r="CL5" s="514"/>
      <c r="CM5" s="514"/>
      <c r="CN5" s="514"/>
      <c r="CO5" s="514"/>
      <c r="CQ5" s="42"/>
      <c r="CR5" s="514">
        <v>2018</v>
      </c>
      <c r="CS5" s="514"/>
      <c r="CT5" s="514"/>
      <c r="CU5" s="514"/>
      <c r="CV5" s="514"/>
      <c r="CW5" s="514"/>
      <c r="CX5" s="514"/>
      <c r="CY5" s="514"/>
      <c r="CZ5" s="514"/>
      <c r="DA5" s="514"/>
      <c r="DB5" s="514"/>
      <c r="DC5" s="514"/>
      <c r="DD5" s="514"/>
      <c r="DE5" s="514"/>
      <c r="DF5" s="514"/>
      <c r="DG5" s="514"/>
      <c r="DH5" s="514"/>
      <c r="DI5" s="42"/>
      <c r="DJ5" s="514">
        <v>2019</v>
      </c>
      <c r="DK5" s="514"/>
      <c r="DL5" s="514"/>
      <c r="DM5" s="514"/>
      <c r="DN5" s="514"/>
      <c r="DO5" s="514"/>
      <c r="DP5" s="514"/>
      <c r="DQ5" s="514"/>
      <c r="DR5" s="514"/>
      <c r="DS5" s="514"/>
      <c r="DT5" s="514"/>
      <c r="DU5" s="514"/>
      <c r="DV5" s="514"/>
      <c r="DW5" s="514"/>
      <c r="DX5" s="514"/>
      <c r="DY5" s="514"/>
      <c r="DZ5" s="514"/>
      <c r="EA5" s="42"/>
      <c r="EB5" s="514">
        <v>2020</v>
      </c>
      <c r="EC5" s="514"/>
      <c r="ED5" s="514"/>
      <c r="EE5" s="514"/>
      <c r="EF5" s="514"/>
      <c r="EG5" s="514"/>
      <c r="EH5" s="514"/>
      <c r="EI5" s="514"/>
      <c r="EJ5" s="514"/>
      <c r="EK5" s="514"/>
      <c r="EL5" s="514"/>
      <c r="EM5" s="514"/>
      <c r="EN5" s="514"/>
      <c r="EO5" s="514"/>
      <c r="EP5" s="514"/>
      <c r="EQ5" s="514"/>
      <c r="ER5" s="514"/>
      <c r="ET5" s="42"/>
      <c r="EU5" s="514">
        <v>2021</v>
      </c>
      <c r="EV5" s="514"/>
      <c r="EW5" s="514"/>
      <c r="EX5" s="514"/>
      <c r="EY5" s="514"/>
      <c r="EZ5" s="514"/>
      <c r="FA5" s="514"/>
      <c r="FB5" s="514"/>
      <c r="FC5" s="514"/>
      <c r="FD5" s="514"/>
      <c r="FE5" s="514"/>
      <c r="FF5" s="514"/>
      <c r="FG5" s="514"/>
      <c r="FH5" s="514"/>
      <c r="FI5" s="514"/>
      <c r="FJ5" s="514"/>
      <c r="FK5" s="514"/>
    </row>
    <row r="6" spans="2:170" ht="14.25" customHeight="1">
      <c r="B6" s="497" t="s">
        <v>542</v>
      </c>
      <c r="C6" s="497"/>
      <c r="D6" s="42"/>
      <c r="E6" s="514" t="s">
        <v>65</v>
      </c>
      <c r="F6" s="514"/>
      <c r="G6" s="514"/>
      <c r="H6" s="514"/>
      <c r="I6" s="514"/>
      <c r="J6" s="514"/>
      <c r="K6" s="514"/>
      <c r="L6" s="514"/>
      <c r="M6" s="514"/>
      <c r="N6" s="514"/>
      <c r="O6" s="514"/>
      <c r="P6" s="514"/>
      <c r="Q6" s="514"/>
      <c r="R6" s="514"/>
      <c r="S6" s="514"/>
      <c r="T6" s="514"/>
      <c r="U6" s="514"/>
      <c r="V6" s="42"/>
      <c r="W6" s="514" t="s">
        <v>65</v>
      </c>
      <c r="X6" s="514"/>
      <c r="Y6" s="514"/>
      <c r="Z6" s="514"/>
      <c r="AA6" s="514"/>
      <c r="AB6" s="514"/>
      <c r="AC6" s="514"/>
      <c r="AD6" s="514"/>
      <c r="AE6" s="514"/>
      <c r="AF6" s="514"/>
      <c r="AG6" s="514"/>
      <c r="AH6" s="514"/>
      <c r="AI6" s="514"/>
      <c r="AJ6" s="514"/>
      <c r="AK6" s="514"/>
      <c r="AL6" s="514"/>
      <c r="AM6" s="514"/>
      <c r="AN6" s="42"/>
      <c r="AO6" s="514" t="s">
        <v>65</v>
      </c>
      <c r="AP6" s="514"/>
      <c r="AQ6" s="514"/>
      <c r="AR6" s="514"/>
      <c r="AS6" s="514"/>
      <c r="AT6" s="514"/>
      <c r="AU6" s="514"/>
      <c r="AV6" s="514"/>
      <c r="AW6" s="514"/>
      <c r="AX6" s="514"/>
      <c r="AY6" s="514"/>
      <c r="AZ6" s="514"/>
      <c r="BA6" s="514"/>
      <c r="BB6" s="514"/>
      <c r="BC6" s="514"/>
      <c r="BD6" s="514"/>
      <c r="BE6" s="514"/>
      <c r="BF6" s="42"/>
      <c r="BG6" s="514" t="s">
        <v>65</v>
      </c>
      <c r="BH6" s="514"/>
      <c r="BI6" s="514"/>
      <c r="BJ6" s="514"/>
      <c r="BK6" s="514"/>
      <c r="BL6" s="514"/>
      <c r="BM6" s="514"/>
      <c r="BN6" s="514"/>
      <c r="BO6" s="514"/>
      <c r="BP6" s="514"/>
      <c r="BQ6" s="514"/>
      <c r="BR6" s="514"/>
      <c r="BS6" s="514"/>
      <c r="BT6" s="514"/>
      <c r="BU6" s="514"/>
      <c r="BV6" s="514"/>
      <c r="BW6" s="514"/>
      <c r="BX6" s="42"/>
      <c r="BY6" s="514" t="s">
        <v>65</v>
      </c>
      <c r="BZ6" s="514"/>
      <c r="CA6" s="514"/>
      <c r="CB6" s="514"/>
      <c r="CC6" s="514"/>
      <c r="CD6" s="514"/>
      <c r="CE6" s="514"/>
      <c r="CF6" s="514"/>
      <c r="CG6" s="514"/>
      <c r="CH6" s="514"/>
      <c r="CI6" s="514"/>
      <c r="CJ6" s="514"/>
      <c r="CK6" s="514"/>
      <c r="CL6" s="514"/>
      <c r="CM6" s="514"/>
      <c r="CN6" s="514"/>
      <c r="CO6" s="514"/>
      <c r="CP6" s="42"/>
      <c r="CQ6" s="42"/>
      <c r="CR6" s="514" t="s">
        <v>65</v>
      </c>
      <c r="CS6" s="514"/>
      <c r="CT6" s="514"/>
      <c r="CU6" s="514"/>
      <c r="CV6" s="514"/>
      <c r="CW6" s="514"/>
      <c r="CX6" s="514"/>
      <c r="CY6" s="514"/>
      <c r="CZ6" s="514"/>
      <c r="DA6" s="514"/>
      <c r="DB6" s="514"/>
      <c r="DC6" s="514"/>
      <c r="DD6" s="514"/>
      <c r="DE6" s="514"/>
      <c r="DF6" s="514"/>
      <c r="DG6" s="514"/>
      <c r="DH6" s="514"/>
      <c r="DI6" s="42"/>
      <c r="DJ6" s="514" t="s">
        <v>65</v>
      </c>
      <c r="DK6" s="514"/>
      <c r="DL6" s="514"/>
      <c r="DM6" s="514"/>
      <c r="DN6" s="514"/>
      <c r="DO6" s="514"/>
      <c r="DP6" s="514"/>
      <c r="DQ6" s="514"/>
      <c r="DR6" s="514"/>
      <c r="DS6" s="514"/>
      <c r="DT6" s="514"/>
      <c r="DU6" s="514"/>
      <c r="DV6" s="514"/>
      <c r="DW6" s="514"/>
      <c r="DX6" s="514"/>
      <c r="DY6" s="514"/>
      <c r="DZ6" s="514"/>
      <c r="EA6" s="42"/>
      <c r="EB6" s="514" t="s">
        <v>65</v>
      </c>
      <c r="EC6" s="514"/>
      <c r="ED6" s="514"/>
      <c r="EE6" s="514"/>
      <c r="EF6" s="514"/>
      <c r="EG6" s="514"/>
      <c r="EH6" s="514"/>
      <c r="EI6" s="514"/>
      <c r="EJ6" s="514"/>
      <c r="EK6" s="514"/>
      <c r="EL6" s="514"/>
      <c r="EM6" s="514"/>
      <c r="EN6" s="514"/>
      <c r="EO6" s="514"/>
      <c r="EP6" s="514"/>
      <c r="EQ6" s="514"/>
      <c r="ER6" s="514"/>
      <c r="ET6" s="42"/>
      <c r="EU6" s="514" t="s">
        <v>65</v>
      </c>
      <c r="EV6" s="514"/>
      <c r="EW6" s="514"/>
      <c r="EX6" s="514"/>
      <c r="EY6" s="514"/>
      <c r="EZ6" s="514"/>
      <c r="FA6" s="514"/>
      <c r="FB6" s="514"/>
      <c r="FC6" s="514"/>
      <c r="FD6" s="514"/>
      <c r="FE6" s="514"/>
      <c r="FF6" s="514"/>
      <c r="FG6" s="514"/>
      <c r="FH6" s="514"/>
      <c r="FI6" s="514"/>
      <c r="FJ6" s="514"/>
      <c r="FK6" s="514"/>
    </row>
    <row r="7" spans="2:170" ht="48" customHeight="1">
      <c r="B7" s="497"/>
      <c r="C7" s="497"/>
      <c r="D7" s="42"/>
      <c r="E7" s="492" t="s">
        <v>226</v>
      </c>
      <c r="F7" s="492"/>
      <c r="G7" s="116"/>
      <c r="H7" s="492" t="s">
        <v>543</v>
      </c>
      <c r="I7" s="492"/>
      <c r="J7" s="116"/>
      <c r="K7" s="492" t="s">
        <v>230</v>
      </c>
      <c r="L7" s="492"/>
      <c r="M7" s="116"/>
      <c r="N7" s="492" t="s">
        <v>543</v>
      </c>
      <c r="O7" s="492"/>
      <c r="P7" s="116"/>
      <c r="Q7" s="492" t="s">
        <v>68</v>
      </c>
      <c r="R7" s="492"/>
      <c r="S7" s="116"/>
      <c r="T7" s="492" t="s">
        <v>543</v>
      </c>
      <c r="U7" s="492"/>
      <c r="V7" s="116"/>
      <c r="W7" s="492" t="s">
        <v>226</v>
      </c>
      <c r="X7" s="492"/>
      <c r="Y7" s="116"/>
      <c r="Z7" s="492" t="s">
        <v>543</v>
      </c>
      <c r="AA7" s="492"/>
      <c r="AB7" s="116"/>
      <c r="AC7" s="492" t="s">
        <v>230</v>
      </c>
      <c r="AD7" s="492"/>
      <c r="AE7" s="116"/>
      <c r="AF7" s="492" t="s">
        <v>543</v>
      </c>
      <c r="AG7" s="492"/>
      <c r="AH7" s="116"/>
      <c r="AI7" s="492" t="s">
        <v>68</v>
      </c>
      <c r="AJ7" s="492"/>
      <c r="AK7" s="116"/>
      <c r="AL7" s="492" t="s">
        <v>543</v>
      </c>
      <c r="AM7" s="492"/>
      <c r="AN7" s="116"/>
      <c r="AO7" s="492" t="s">
        <v>226</v>
      </c>
      <c r="AP7" s="492"/>
      <c r="AQ7" s="116"/>
      <c r="AR7" s="492" t="s">
        <v>543</v>
      </c>
      <c r="AS7" s="492"/>
      <c r="AT7" s="116"/>
      <c r="AU7" s="492" t="s">
        <v>230</v>
      </c>
      <c r="AV7" s="492"/>
      <c r="AW7" s="116"/>
      <c r="AX7" s="492" t="s">
        <v>543</v>
      </c>
      <c r="AY7" s="492"/>
      <c r="AZ7" s="116"/>
      <c r="BA7" s="492" t="s">
        <v>68</v>
      </c>
      <c r="BB7" s="492"/>
      <c r="BC7" s="116"/>
      <c r="BD7" s="492" t="s">
        <v>543</v>
      </c>
      <c r="BE7" s="492"/>
      <c r="BF7" s="116"/>
      <c r="BG7" s="492" t="s">
        <v>226</v>
      </c>
      <c r="BH7" s="492"/>
      <c r="BI7" s="116"/>
      <c r="BJ7" s="492" t="s">
        <v>543</v>
      </c>
      <c r="BK7" s="492"/>
      <c r="BL7" s="116"/>
      <c r="BM7" s="492" t="s">
        <v>230</v>
      </c>
      <c r="BN7" s="492"/>
      <c r="BO7" s="116"/>
      <c r="BP7" s="492" t="s">
        <v>543</v>
      </c>
      <c r="BQ7" s="492"/>
      <c r="BR7" s="116"/>
      <c r="BS7" s="492" t="s">
        <v>68</v>
      </c>
      <c r="BT7" s="492"/>
      <c r="BU7" s="116"/>
      <c r="BV7" s="492" t="s">
        <v>543</v>
      </c>
      <c r="BW7" s="492"/>
      <c r="BX7" s="116"/>
      <c r="BY7" s="492" t="s">
        <v>226</v>
      </c>
      <c r="BZ7" s="492"/>
      <c r="CA7" s="116"/>
      <c r="CB7" s="492" t="s">
        <v>543</v>
      </c>
      <c r="CC7" s="492"/>
      <c r="CD7" s="116"/>
      <c r="CE7" s="492" t="s">
        <v>230</v>
      </c>
      <c r="CF7" s="492"/>
      <c r="CG7" s="116"/>
      <c r="CH7" s="492" t="s">
        <v>543</v>
      </c>
      <c r="CI7" s="492"/>
      <c r="CJ7" s="116"/>
      <c r="CK7" s="492" t="s">
        <v>68</v>
      </c>
      <c r="CL7" s="492"/>
      <c r="CM7" s="116"/>
      <c r="CN7" s="492" t="s">
        <v>543</v>
      </c>
      <c r="CO7" s="492"/>
      <c r="CP7" s="42"/>
      <c r="CQ7" s="116"/>
      <c r="CR7" s="492" t="s">
        <v>226</v>
      </c>
      <c r="CS7" s="492"/>
      <c r="CT7" s="116"/>
      <c r="CU7" s="492" t="s">
        <v>543</v>
      </c>
      <c r="CV7" s="492"/>
      <c r="CW7" s="116"/>
      <c r="CX7" s="492" t="s">
        <v>230</v>
      </c>
      <c r="CY7" s="492"/>
      <c r="CZ7" s="116"/>
      <c r="DA7" s="492" t="s">
        <v>543</v>
      </c>
      <c r="DB7" s="492"/>
      <c r="DC7" s="116"/>
      <c r="DD7" s="492" t="s">
        <v>68</v>
      </c>
      <c r="DE7" s="492"/>
      <c r="DF7" s="116"/>
      <c r="DG7" s="492" t="s">
        <v>543</v>
      </c>
      <c r="DH7" s="492"/>
      <c r="DI7" s="116"/>
      <c r="DJ7" s="492" t="s">
        <v>226</v>
      </c>
      <c r="DK7" s="492"/>
      <c r="DL7" s="116"/>
      <c r="DM7" s="492" t="s">
        <v>543</v>
      </c>
      <c r="DN7" s="492"/>
      <c r="DO7" s="116"/>
      <c r="DP7" s="492" t="s">
        <v>230</v>
      </c>
      <c r="DQ7" s="492"/>
      <c r="DR7" s="116"/>
      <c r="DS7" s="492" t="s">
        <v>543</v>
      </c>
      <c r="DT7" s="492"/>
      <c r="DU7" s="116"/>
      <c r="DV7" s="492" t="s">
        <v>68</v>
      </c>
      <c r="DW7" s="492"/>
      <c r="DX7" s="116"/>
      <c r="DY7" s="492" t="s">
        <v>543</v>
      </c>
      <c r="DZ7" s="492"/>
      <c r="EA7" s="116"/>
      <c r="EB7" s="492" t="s">
        <v>226</v>
      </c>
      <c r="EC7" s="492"/>
      <c r="ED7" s="116"/>
      <c r="EE7" s="492" t="s">
        <v>543</v>
      </c>
      <c r="EF7" s="492"/>
      <c r="EG7" s="116"/>
      <c r="EH7" s="492" t="s">
        <v>230</v>
      </c>
      <c r="EI7" s="492"/>
      <c r="EJ7" s="116"/>
      <c r="EK7" s="492" t="s">
        <v>543</v>
      </c>
      <c r="EL7" s="492"/>
      <c r="EM7" s="116"/>
      <c r="EN7" s="492" t="s">
        <v>68</v>
      </c>
      <c r="EO7" s="492"/>
      <c r="EP7" s="116"/>
      <c r="EQ7" s="492" t="s">
        <v>543</v>
      </c>
      <c r="ER7" s="492"/>
      <c r="ET7" s="116"/>
      <c r="EU7" s="492" t="s">
        <v>226</v>
      </c>
      <c r="EV7" s="492"/>
      <c r="EW7" s="116"/>
      <c r="EX7" s="492" t="s">
        <v>543</v>
      </c>
      <c r="EY7" s="492"/>
      <c r="EZ7" s="116"/>
      <c r="FA7" s="492" t="s">
        <v>230</v>
      </c>
      <c r="FB7" s="492"/>
      <c r="FC7" s="116"/>
      <c r="FD7" s="492" t="s">
        <v>543</v>
      </c>
      <c r="FE7" s="492"/>
      <c r="FF7" s="116"/>
      <c r="FG7" s="492" t="s">
        <v>68</v>
      </c>
      <c r="FH7" s="492"/>
      <c r="FI7" s="116"/>
      <c r="FJ7" s="492" t="s">
        <v>543</v>
      </c>
      <c r="FK7" s="492"/>
    </row>
    <row r="8" spans="2:170" ht="14.25" customHeight="1">
      <c r="B8" s="497"/>
      <c r="C8" s="497"/>
      <c r="D8" s="42"/>
      <c r="E8" s="514" t="s">
        <v>76</v>
      </c>
      <c r="F8" s="514"/>
      <c r="G8" s="514"/>
      <c r="H8" s="514"/>
      <c r="I8" s="514"/>
      <c r="J8" s="514"/>
      <c r="K8" s="514"/>
      <c r="L8" s="514"/>
      <c r="M8" s="514"/>
      <c r="N8" s="514"/>
      <c r="O8" s="514"/>
      <c r="P8" s="514"/>
      <c r="Q8" s="514"/>
      <c r="R8" s="514"/>
      <c r="S8" s="514"/>
      <c r="T8" s="514"/>
      <c r="U8" s="514"/>
      <c r="V8" s="42"/>
      <c r="W8" s="514" t="s">
        <v>76</v>
      </c>
      <c r="X8" s="514"/>
      <c r="Y8" s="514"/>
      <c r="Z8" s="514"/>
      <c r="AA8" s="514"/>
      <c r="AB8" s="514"/>
      <c r="AC8" s="514"/>
      <c r="AD8" s="514"/>
      <c r="AE8" s="514"/>
      <c r="AF8" s="514"/>
      <c r="AG8" s="514"/>
      <c r="AH8" s="514"/>
      <c r="AI8" s="514"/>
      <c r="AJ8" s="514"/>
      <c r="AK8" s="514"/>
      <c r="AL8" s="514"/>
      <c r="AM8" s="514"/>
      <c r="AN8" s="42"/>
      <c r="AO8" s="514" t="s">
        <v>76</v>
      </c>
      <c r="AP8" s="514"/>
      <c r="AQ8" s="514"/>
      <c r="AR8" s="514"/>
      <c r="AS8" s="514"/>
      <c r="AT8" s="514"/>
      <c r="AU8" s="514"/>
      <c r="AV8" s="514"/>
      <c r="AW8" s="514"/>
      <c r="AX8" s="514"/>
      <c r="AY8" s="514"/>
      <c r="AZ8" s="514"/>
      <c r="BA8" s="514"/>
      <c r="BB8" s="514"/>
      <c r="BC8" s="514"/>
      <c r="BD8" s="514"/>
      <c r="BE8" s="514"/>
      <c r="BF8" s="42"/>
      <c r="BG8" s="514" t="s">
        <v>76</v>
      </c>
      <c r="BH8" s="514"/>
      <c r="BI8" s="514"/>
      <c r="BJ8" s="514"/>
      <c r="BK8" s="514"/>
      <c r="BL8" s="514"/>
      <c r="BM8" s="514"/>
      <c r="BN8" s="514"/>
      <c r="BO8" s="514"/>
      <c r="BP8" s="514"/>
      <c r="BQ8" s="514"/>
      <c r="BR8" s="514"/>
      <c r="BS8" s="514"/>
      <c r="BT8" s="514"/>
      <c r="BU8" s="514"/>
      <c r="BV8" s="514"/>
      <c r="BW8" s="514"/>
      <c r="BX8" s="42"/>
      <c r="BY8" s="514" t="s">
        <v>76</v>
      </c>
      <c r="BZ8" s="514"/>
      <c r="CA8" s="514"/>
      <c r="CB8" s="514"/>
      <c r="CC8" s="514"/>
      <c r="CD8" s="514"/>
      <c r="CE8" s="514"/>
      <c r="CF8" s="514"/>
      <c r="CG8" s="514"/>
      <c r="CH8" s="514"/>
      <c r="CI8" s="514"/>
      <c r="CJ8" s="514"/>
      <c r="CK8" s="514"/>
      <c r="CL8" s="514"/>
      <c r="CM8" s="514"/>
      <c r="CN8" s="514"/>
      <c r="CO8" s="514"/>
      <c r="CP8" s="42"/>
      <c r="CQ8" s="42"/>
      <c r="CR8" s="514" t="s">
        <v>76</v>
      </c>
      <c r="CS8" s="514"/>
      <c r="CT8" s="514"/>
      <c r="CU8" s="514"/>
      <c r="CV8" s="514"/>
      <c r="CW8" s="514"/>
      <c r="CX8" s="514"/>
      <c r="CY8" s="514"/>
      <c r="CZ8" s="514"/>
      <c r="DA8" s="514"/>
      <c r="DB8" s="514"/>
      <c r="DC8" s="514"/>
      <c r="DD8" s="514"/>
      <c r="DE8" s="514"/>
      <c r="DF8" s="514"/>
      <c r="DG8" s="514"/>
      <c r="DH8" s="514"/>
      <c r="DI8" s="42"/>
      <c r="DJ8" s="514" t="s">
        <v>76</v>
      </c>
      <c r="DK8" s="514"/>
      <c r="DL8" s="514"/>
      <c r="DM8" s="514"/>
      <c r="DN8" s="514"/>
      <c r="DO8" s="514"/>
      <c r="DP8" s="514"/>
      <c r="DQ8" s="514"/>
      <c r="DR8" s="514"/>
      <c r="DS8" s="514"/>
      <c r="DT8" s="514"/>
      <c r="DU8" s="514"/>
      <c r="DV8" s="514"/>
      <c r="DW8" s="514"/>
      <c r="DX8" s="514"/>
      <c r="DY8" s="514"/>
      <c r="DZ8" s="514"/>
      <c r="EA8" s="42"/>
      <c r="EB8" s="514" t="s">
        <v>1216</v>
      </c>
      <c r="EC8" s="514"/>
      <c r="ED8" s="514"/>
      <c r="EE8" s="514"/>
      <c r="EF8" s="514"/>
      <c r="EG8" s="514"/>
      <c r="EH8" s="514"/>
      <c r="EI8" s="514"/>
      <c r="EJ8" s="514"/>
      <c r="EK8" s="514"/>
      <c r="EL8" s="514"/>
      <c r="EM8" s="514"/>
      <c r="EN8" s="514"/>
      <c r="EO8" s="514"/>
      <c r="EP8" s="514"/>
      <c r="EQ8" s="514"/>
      <c r="ER8" s="514"/>
      <c r="ET8" s="42"/>
      <c r="EU8" s="514" t="s">
        <v>1216</v>
      </c>
      <c r="EV8" s="514"/>
      <c r="EW8" s="514"/>
      <c r="EX8" s="514"/>
      <c r="EY8" s="514"/>
      <c r="EZ8" s="514"/>
      <c r="FA8" s="514"/>
      <c r="FB8" s="514"/>
      <c r="FC8" s="514"/>
      <c r="FD8" s="514"/>
      <c r="FE8" s="514"/>
      <c r="FF8" s="514"/>
      <c r="FG8" s="514"/>
      <c r="FH8" s="514"/>
      <c r="FI8" s="514"/>
      <c r="FJ8" s="514"/>
      <c r="FK8" s="514"/>
    </row>
    <row r="9" spans="2:170" ht="4.5" customHeight="1">
      <c r="B9" s="42"/>
      <c r="C9" s="42"/>
      <c r="D9" s="42"/>
      <c r="E9" s="59"/>
      <c r="F9" s="59"/>
      <c r="G9" s="59"/>
      <c r="H9" s="59"/>
      <c r="I9" s="59"/>
      <c r="J9" s="59"/>
      <c r="K9" s="59"/>
      <c r="L9" s="59"/>
      <c r="M9" s="59"/>
      <c r="N9" s="59"/>
      <c r="O9" s="59"/>
      <c r="P9" s="59"/>
      <c r="Q9" s="59"/>
      <c r="R9" s="59"/>
      <c r="S9" s="59"/>
      <c r="T9" s="59"/>
      <c r="U9" s="59"/>
      <c r="V9" s="42"/>
      <c r="W9" s="59"/>
      <c r="X9" s="59"/>
      <c r="Y9" s="59"/>
      <c r="Z9" s="59"/>
      <c r="AA9" s="59"/>
      <c r="AB9" s="59"/>
      <c r="AC9" s="59"/>
      <c r="AD9" s="59"/>
      <c r="AE9" s="59"/>
      <c r="AF9" s="59"/>
      <c r="AG9" s="59"/>
      <c r="AH9" s="59"/>
      <c r="AI9" s="59"/>
      <c r="AJ9" s="59"/>
      <c r="AK9" s="59"/>
      <c r="AL9" s="59"/>
      <c r="AM9" s="59"/>
      <c r="AN9" s="42"/>
      <c r="AO9" s="59"/>
      <c r="AP9" s="59"/>
      <c r="AQ9" s="59"/>
      <c r="AR9" s="59"/>
      <c r="AS9" s="59"/>
      <c r="AT9" s="59"/>
      <c r="AU9" s="59"/>
      <c r="AV9" s="59"/>
      <c r="AW9" s="59"/>
      <c r="AX9" s="59"/>
      <c r="AY9" s="59"/>
      <c r="AZ9" s="59"/>
      <c r="BA9" s="59"/>
      <c r="BB9" s="59"/>
      <c r="BC9" s="59"/>
      <c r="BD9" s="59"/>
      <c r="BE9" s="59"/>
      <c r="BF9" s="42"/>
      <c r="BG9" s="59"/>
      <c r="BH9" s="59"/>
      <c r="BI9" s="59"/>
      <c r="BJ9" s="59"/>
      <c r="BK9" s="59"/>
      <c r="BL9" s="59"/>
      <c r="BM9" s="59"/>
      <c r="BN9" s="59"/>
      <c r="BO9" s="59"/>
      <c r="BP9" s="59"/>
      <c r="BQ9" s="59"/>
      <c r="BR9" s="59"/>
      <c r="BS9" s="59"/>
      <c r="BT9" s="59"/>
      <c r="BU9" s="59"/>
      <c r="BV9" s="59"/>
      <c r="BW9" s="59"/>
      <c r="BX9" s="42"/>
      <c r="BY9" s="59"/>
      <c r="BZ9" s="59"/>
      <c r="CA9" s="59"/>
      <c r="CB9" s="59"/>
      <c r="CC9" s="59"/>
      <c r="CD9" s="59"/>
      <c r="CE9" s="59"/>
      <c r="CF9" s="59"/>
      <c r="CG9" s="59"/>
      <c r="CH9" s="59"/>
      <c r="CI9" s="59"/>
      <c r="CJ9" s="59"/>
      <c r="CK9" s="59"/>
      <c r="CL9" s="59"/>
      <c r="CM9" s="59"/>
      <c r="CN9" s="59"/>
      <c r="CO9" s="59"/>
      <c r="CP9" s="42"/>
      <c r="CQ9" s="42"/>
      <c r="CR9" s="59"/>
      <c r="CS9" s="59"/>
      <c r="CT9" s="59"/>
      <c r="CU9" s="59"/>
      <c r="CV9" s="59"/>
      <c r="CW9" s="59"/>
      <c r="CX9" s="59"/>
      <c r="CY9" s="59"/>
      <c r="CZ9" s="59"/>
      <c r="DA9" s="59"/>
      <c r="DB9" s="59"/>
      <c r="DC9" s="59"/>
      <c r="DD9" s="59"/>
      <c r="DE9" s="59"/>
      <c r="DF9" s="59"/>
      <c r="DG9" s="59"/>
      <c r="DH9" s="59"/>
      <c r="DI9" s="42"/>
      <c r="DJ9" s="59"/>
      <c r="DK9" s="59"/>
      <c r="DL9" s="59"/>
      <c r="DM9" s="59"/>
      <c r="DN9" s="59"/>
      <c r="DO9" s="59"/>
      <c r="DP9" s="59"/>
      <c r="DQ9" s="59"/>
      <c r="DR9" s="59"/>
      <c r="DS9" s="59"/>
      <c r="DT9" s="59"/>
      <c r="DU9" s="59"/>
      <c r="DV9" s="59"/>
      <c r="DW9" s="59"/>
      <c r="DX9" s="59"/>
      <c r="DY9" s="59"/>
      <c r="DZ9" s="59"/>
      <c r="EA9" s="42"/>
      <c r="EB9" s="59"/>
      <c r="EC9" s="59"/>
      <c r="ED9" s="59"/>
      <c r="EE9" s="59"/>
      <c r="EF9" s="59"/>
      <c r="EG9" s="59"/>
      <c r="EH9" s="59"/>
      <c r="EI9" s="59"/>
      <c r="EJ9" s="59"/>
      <c r="EK9" s="59"/>
      <c r="EL9" s="59"/>
      <c r="EM9" s="59"/>
      <c r="EN9" s="59"/>
      <c r="EO9" s="59"/>
      <c r="EP9" s="59"/>
      <c r="EQ9" s="59"/>
      <c r="ER9" s="59"/>
      <c r="ES9" s="59"/>
      <c r="ET9" s="42"/>
      <c r="EU9" s="59"/>
      <c r="EV9" s="59"/>
      <c r="EW9" s="59"/>
      <c r="EX9" s="59"/>
      <c r="EY9" s="59"/>
      <c r="EZ9" s="59"/>
      <c r="FA9" s="59"/>
      <c r="FB9" s="59"/>
      <c r="FC9" s="59"/>
      <c r="FD9" s="59"/>
      <c r="FE9" s="59"/>
      <c r="FF9" s="59"/>
      <c r="FG9" s="59"/>
      <c r="FH9" s="59"/>
      <c r="FI9" s="59"/>
      <c r="FJ9" s="59"/>
      <c r="FK9" s="59"/>
    </row>
    <row r="10" spans="2:170" ht="13.5" customHeight="1">
      <c r="B10" s="497">
        <v>1</v>
      </c>
      <c r="C10" s="502"/>
      <c r="D10" s="61"/>
      <c r="E10" s="497">
        <v>2</v>
      </c>
      <c r="F10" s="497"/>
      <c r="G10" s="42"/>
      <c r="H10" s="497">
        <v>3</v>
      </c>
      <c r="I10" s="497"/>
      <c r="J10" s="42"/>
      <c r="K10" s="497">
        <v>4</v>
      </c>
      <c r="L10" s="497"/>
      <c r="M10" s="42"/>
      <c r="N10" s="497">
        <v>5</v>
      </c>
      <c r="O10" s="497"/>
      <c r="P10" s="42"/>
      <c r="Q10" s="497">
        <v>6</v>
      </c>
      <c r="R10" s="497"/>
      <c r="S10" s="42"/>
      <c r="T10" s="497">
        <v>7</v>
      </c>
      <c r="U10" s="497"/>
      <c r="V10" s="42"/>
      <c r="W10" s="497">
        <v>2</v>
      </c>
      <c r="X10" s="497"/>
      <c r="Y10" s="42"/>
      <c r="Z10" s="497">
        <v>3</v>
      </c>
      <c r="AA10" s="497"/>
      <c r="AB10" s="42"/>
      <c r="AC10" s="497">
        <v>4</v>
      </c>
      <c r="AD10" s="497"/>
      <c r="AE10" s="42"/>
      <c r="AF10" s="497">
        <v>5</v>
      </c>
      <c r="AG10" s="497"/>
      <c r="AH10" s="42"/>
      <c r="AI10" s="497">
        <v>6</v>
      </c>
      <c r="AJ10" s="497"/>
      <c r="AK10" s="42"/>
      <c r="AL10" s="497">
        <v>7</v>
      </c>
      <c r="AM10" s="497"/>
      <c r="AN10" s="42"/>
      <c r="AO10" s="497">
        <v>2</v>
      </c>
      <c r="AP10" s="497"/>
      <c r="AQ10" s="42"/>
      <c r="AR10" s="497">
        <v>3</v>
      </c>
      <c r="AS10" s="497"/>
      <c r="AT10" s="42"/>
      <c r="AU10" s="497">
        <v>4</v>
      </c>
      <c r="AV10" s="497"/>
      <c r="AW10" s="42"/>
      <c r="AX10" s="497">
        <v>5</v>
      </c>
      <c r="AY10" s="497"/>
      <c r="AZ10" s="42"/>
      <c r="BA10" s="497">
        <v>6</v>
      </c>
      <c r="BB10" s="497"/>
      <c r="BC10" s="42"/>
      <c r="BD10" s="497">
        <v>7</v>
      </c>
      <c r="BE10" s="497"/>
      <c r="BF10" s="42"/>
      <c r="BG10" s="497">
        <v>2</v>
      </c>
      <c r="BH10" s="497"/>
      <c r="BI10" s="42"/>
      <c r="BJ10" s="497">
        <v>3</v>
      </c>
      <c r="BK10" s="497"/>
      <c r="BL10" s="42"/>
      <c r="BM10" s="497">
        <v>4</v>
      </c>
      <c r="BN10" s="497"/>
      <c r="BO10" s="42"/>
      <c r="BP10" s="497">
        <v>5</v>
      </c>
      <c r="BQ10" s="497"/>
      <c r="BR10" s="42"/>
      <c r="BS10" s="497">
        <v>6</v>
      </c>
      <c r="BT10" s="497"/>
      <c r="BU10" s="42"/>
      <c r="BV10" s="497">
        <v>7</v>
      </c>
      <c r="BW10" s="497"/>
      <c r="BX10" s="42"/>
      <c r="BY10" s="497">
        <v>2</v>
      </c>
      <c r="BZ10" s="497"/>
      <c r="CA10" s="42"/>
      <c r="CB10" s="497">
        <v>3</v>
      </c>
      <c r="CC10" s="497"/>
      <c r="CD10" s="42"/>
      <c r="CE10" s="497">
        <v>4</v>
      </c>
      <c r="CF10" s="497"/>
      <c r="CG10" s="42"/>
      <c r="CH10" s="497">
        <v>5</v>
      </c>
      <c r="CI10" s="497"/>
      <c r="CJ10" s="42"/>
      <c r="CK10" s="497">
        <v>6</v>
      </c>
      <c r="CL10" s="497"/>
      <c r="CM10" s="42"/>
      <c r="CN10" s="497">
        <v>7</v>
      </c>
      <c r="CO10" s="497"/>
      <c r="CP10" s="61"/>
      <c r="CQ10" s="42"/>
      <c r="CR10" s="497">
        <v>2</v>
      </c>
      <c r="CS10" s="497"/>
      <c r="CT10" s="42"/>
      <c r="CU10" s="497">
        <v>3</v>
      </c>
      <c r="CV10" s="497"/>
      <c r="CW10" s="42"/>
      <c r="CX10" s="497">
        <v>4</v>
      </c>
      <c r="CY10" s="497"/>
      <c r="CZ10" s="42"/>
      <c r="DA10" s="497">
        <v>5</v>
      </c>
      <c r="DB10" s="497"/>
      <c r="DC10" s="42"/>
      <c r="DD10" s="497">
        <v>6</v>
      </c>
      <c r="DE10" s="497"/>
      <c r="DF10" s="42"/>
      <c r="DG10" s="497">
        <v>7</v>
      </c>
      <c r="DH10" s="497"/>
      <c r="DI10" s="42"/>
      <c r="DJ10" s="497">
        <v>2</v>
      </c>
      <c r="DK10" s="497"/>
      <c r="DL10" s="42"/>
      <c r="DM10" s="497">
        <v>3</v>
      </c>
      <c r="DN10" s="497"/>
      <c r="DO10" s="42"/>
      <c r="DP10" s="497">
        <v>4</v>
      </c>
      <c r="DQ10" s="497"/>
      <c r="DR10" s="42"/>
      <c r="DS10" s="497">
        <v>5</v>
      </c>
      <c r="DT10" s="497"/>
      <c r="DU10" s="42"/>
      <c r="DV10" s="497">
        <v>6</v>
      </c>
      <c r="DW10" s="497"/>
      <c r="DX10" s="42"/>
      <c r="DY10" s="497">
        <v>7</v>
      </c>
      <c r="DZ10" s="497"/>
      <c r="EA10" s="42"/>
      <c r="EB10" s="497">
        <v>2</v>
      </c>
      <c r="EC10" s="497"/>
      <c r="ED10" s="42"/>
      <c r="EE10" s="497">
        <v>3</v>
      </c>
      <c r="EF10" s="497"/>
      <c r="EG10" s="42"/>
      <c r="EH10" s="497">
        <v>4</v>
      </c>
      <c r="EI10" s="497"/>
      <c r="EJ10" s="42"/>
      <c r="EK10" s="497">
        <v>5</v>
      </c>
      <c r="EL10" s="497"/>
      <c r="EM10" s="42"/>
      <c r="EN10" s="497">
        <v>6</v>
      </c>
      <c r="EO10" s="497"/>
      <c r="EP10" s="42"/>
      <c r="EQ10" s="497">
        <v>7</v>
      </c>
      <c r="ER10" s="497"/>
      <c r="ET10" s="42"/>
      <c r="EU10" s="497">
        <v>2</v>
      </c>
      <c r="EV10" s="497"/>
      <c r="EW10" s="42"/>
      <c r="EX10" s="497">
        <v>3</v>
      </c>
      <c r="EY10" s="497"/>
      <c r="EZ10" s="42"/>
      <c r="FA10" s="497">
        <v>4</v>
      </c>
      <c r="FB10" s="497"/>
      <c r="FC10" s="42"/>
      <c r="FD10" s="497">
        <v>5</v>
      </c>
      <c r="FE10" s="497"/>
      <c r="FF10" s="42"/>
      <c r="FG10" s="497">
        <v>6</v>
      </c>
      <c r="FH10" s="497"/>
      <c r="FI10" s="42"/>
      <c r="FJ10" s="497">
        <v>7</v>
      </c>
      <c r="FK10" s="497"/>
    </row>
    <row r="11" spans="2:170" ht="4.5" customHeight="1">
      <c r="B11" s="13"/>
      <c r="C11" s="107"/>
      <c r="D11" s="108"/>
      <c r="E11" s="107"/>
      <c r="F11" s="108"/>
      <c r="G11" s="108"/>
      <c r="H11" s="107"/>
      <c r="I11" s="107"/>
      <c r="J11" s="108"/>
      <c r="K11" s="107"/>
      <c r="L11" s="108"/>
      <c r="M11" s="108"/>
      <c r="N11" s="107"/>
      <c r="O11" s="108"/>
      <c r="P11" s="108"/>
      <c r="Q11" s="107"/>
      <c r="R11" s="109"/>
      <c r="S11" s="109"/>
      <c r="T11" s="80"/>
      <c r="U11" s="109"/>
      <c r="V11" s="78"/>
      <c r="W11" s="107"/>
      <c r="X11" s="108"/>
      <c r="Y11" s="108"/>
      <c r="Z11" s="107"/>
      <c r="AA11" s="107"/>
      <c r="AB11" s="108"/>
      <c r="AC11" s="107"/>
      <c r="AD11" s="108"/>
      <c r="AE11" s="108"/>
      <c r="AF11" s="107"/>
      <c r="AG11" s="108"/>
      <c r="AH11" s="108"/>
      <c r="AI11" s="107"/>
      <c r="AJ11" s="109"/>
      <c r="AK11" s="109"/>
      <c r="AL11" s="80"/>
      <c r="AM11" s="109"/>
      <c r="AN11" s="78"/>
      <c r="AO11" s="107"/>
      <c r="AP11" s="108"/>
      <c r="AQ11" s="108"/>
      <c r="AR11" s="107"/>
      <c r="AS11" s="107"/>
      <c r="AT11" s="108"/>
      <c r="AU11" s="107"/>
      <c r="AV11" s="108"/>
      <c r="AW11" s="108"/>
      <c r="AX11" s="107"/>
      <c r="AY11" s="108"/>
      <c r="AZ11" s="108"/>
      <c r="BA11" s="107"/>
      <c r="BB11" s="109"/>
      <c r="BC11" s="109"/>
      <c r="BD11" s="80"/>
      <c r="BE11" s="109"/>
      <c r="BF11" s="78"/>
      <c r="BG11" s="107"/>
      <c r="BH11" s="108"/>
      <c r="BI11" s="108"/>
      <c r="BJ11" s="107"/>
      <c r="BK11" s="107"/>
      <c r="BL11" s="108"/>
      <c r="BM11" s="107"/>
      <c r="BN11" s="108"/>
      <c r="BO11" s="108"/>
      <c r="BP11" s="107"/>
      <c r="BQ11" s="108"/>
      <c r="BR11" s="108"/>
      <c r="BS11" s="107"/>
      <c r="BT11" s="109"/>
      <c r="BU11" s="109"/>
      <c r="BV11" s="80"/>
      <c r="BW11" s="109"/>
      <c r="BX11" s="78"/>
      <c r="BY11" s="107"/>
      <c r="BZ11" s="108"/>
      <c r="CA11" s="108"/>
      <c r="CB11" s="107"/>
      <c r="CC11" s="107"/>
      <c r="CD11" s="108"/>
      <c r="CE11" s="107"/>
      <c r="CF11" s="108"/>
      <c r="CG11" s="108"/>
      <c r="CH11" s="107"/>
      <c r="CI11" s="108"/>
      <c r="CJ11" s="108"/>
      <c r="CK11" s="107"/>
      <c r="CL11" s="109"/>
      <c r="CM11" s="109"/>
      <c r="CN11" s="80"/>
      <c r="CO11" s="109"/>
      <c r="CP11" s="108"/>
      <c r="CQ11" s="78"/>
      <c r="CR11" s="107"/>
      <c r="CS11" s="108"/>
      <c r="CT11" s="108"/>
      <c r="CU11" s="107"/>
      <c r="CV11" s="107"/>
      <c r="CW11" s="108"/>
      <c r="CX11" s="107"/>
      <c r="CY11" s="108"/>
      <c r="CZ11" s="108"/>
      <c r="DA11" s="107"/>
      <c r="DB11" s="108"/>
      <c r="DC11" s="108"/>
      <c r="DD11" s="107"/>
      <c r="DE11" s="109"/>
      <c r="DF11" s="109"/>
      <c r="DG11" s="80"/>
      <c r="DH11" s="109"/>
      <c r="DI11" s="78"/>
      <c r="DJ11" s="107"/>
      <c r="DK11" s="108"/>
      <c r="DL11" s="108"/>
      <c r="DM11" s="107"/>
      <c r="DN11" s="107"/>
      <c r="DO11" s="108"/>
      <c r="DP11" s="107"/>
      <c r="DQ11" s="108"/>
      <c r="DR11" s="108"/>
      <c r="DS11" s="107"/>
      <c r="DT11" s="108"/>
      <c r="DU11" s="108"/>
      <c r="DV11" s="107"/>
      <c r="DW11" s="109"/>
      <c r="DX11" s="109"/>
      <c r="DY11" s="80"/>
      <c r="DZ11" s="109"/>
      <c r="EA11" s="78"/>
      <c r="EB11" s="107"/>
      <c r="EC11" s="108"/>
      <c r="ED11" s="108"/>
      <c r="EE11" s="107"/>
      <c r="EF11" s="107"/>
      <c r="EG11" s="108"/>
      <c r="EH11" s="107"/>
      <c r="EI11" s="108"/>
      <c r="EJ11" s="108"/>
      <c r="EK11" s="107"/>
      <c r="EL11" s="108"/>
      <c r="EM11" s="108"/>
      <c r="EN11" s="107"/>
      <c r="EO11" s="109"/>
      <c r="EP11" s="109"/>
      <c r="EQ11" s="80"/>
      <c r="ER11" s="109"/>
      <c r="ES11" s="109"/>
      <c r="ET11" s="78"/>
      <c r="EU11" s="107"/>
      <c r="EV11" s="108"/>
      <c r="EW11" s="108"/>
      <c r="EX11" s="107"/>
      <c r="EY11" s="107"/>
      <c r="EZ11" s="108"/>
      <c r="FA11" s="107"/>
      <c r="FB11" s="108"/>
      <c r="FC11" s="108"/>
      <c r="FD11" s="107"/>
      <c r="FE11" s="108"/>
      <c r="FF11" s="108"/>
      <c r="FG11" s="107"/>
      <c r="FH11" s="109"/>
      <c r="FI11" s="109"/>
      <c r="FJ11" s="80"/>
      <c r="FK11" s="109"/>
    </row>
    <row r="12" spans="2:170" ht="4.5" customHeight="1">
      <c r="C12" s="16"/>
      <c r="D12" s="52"/>
      <c r="E12" s="16"/>
      <c r="F12" s="52"/>
      <c r="G12" s="52"/>
      <c r="H12" s="16"/>
      <c r="I12" s="16"/>
      <c r="J12" s="52"/>
      <c r="K12" s="16"/>
      <c r="L12" s="52"/>
      <c r="M12" s="52"/>
      <c r="N12" s="16"/>
      <c r="O12" s="52"/>
      <c r="P12" s="52"/>
      <c r="Q12" s="16"/>
      <c r="R12" s="78"/>
      <c r="S12" s="78"/>
      <c r="T12" s="42"/>
      <c r="U12" s="78"/>
      <c r="V12" s="78"/>
      <c r="W12" s="16"/>
      <c r="X12" s="52"/>
      <c r="Y12" s="52"/>
      <c r="Z12" s="16"/>
      <c r="AA12" s="16"/>
      <c r="AB12" s="52"/>
      <c r="AC12" s="16"/>
      <c r="AD12" s="52"/>
      <c r="AE12" s="52"/>
      <c r="AF12" s="16"/>
      <c r="AG12" s="52"/>
      <c r="AH12" s="52"/>
      <c r="AI12" s="16"/>
      <c r="AJ12" s="78"/>
      <c r="AK12" s="78"/>
      <c r="AL12" s="42"/>
      <c r="AM12" s="78"/>
      <c r="AN12" s="78"/>
      <c r="AO12" s="16"/>
      <c r="AP12" s="52"/>
      <c r="AQ12" s="52"/>
      <c r="AR12" s="16"/>
      <c r="AS12" s="16"/>
      <c r="AT12" s="52"/>
      <c r="AU12" s="16"/>
      <c r="AV12" s="52"/>
      <c r="AW12" s="52"/>
      <c r="AX12" s="16"/>
      <c r="AY12" s="52"/>
      <c r="AZ12" s="52"/>
      <c r="BA12" s="16"/>
      <c r="BB12" s="78"/>
      <c r="BC12" s="78"/>
      <c r="BD12" s="42"/>
      <c r="BE12" s="78"/>
      <c r="BF12" s="78"/>
      <c r="BG12" s="16"/>
      <c r="BH12" s="52"/>
      <c r="BI12" s="52"/>
      <c r="BJ12" s="16"/>
      <c r="BK12" s="16"/>
      <c r="BL12" s="52"/>
      <c r="BM12" s="16"/>
      <c r="BN12" s="52"/>
      <c r="BO12" s="52"/>
      <c r="BP12" s="16"/>
      <c r="BQ12" s="52"/>
      <c r="BR12" s="52"/>
      <c r="BS12" s="16"/>
      <c r="BT12" s="78"/>
      <c r="BU12" s="78"/>
      <c r="BV12" s="42"/>
      <c r="BW12" s="78"/>
      <c r="BX12" s="78"/>
      <c r="BY12" s="16"/>
      <c r="BZ12" s="52"/>
      <c r="CA12" s="52"/>
      <c r="CB12" s="16"/>
      <c r="CC12" s="16"/>
      <c r="CD12" s="52"/>
      <c r="CE12" s="16"/>
      <c r="CF12" s="52"/>
      <c r="CG12" s="52"/>
      <c r="CH12" s="16"/>
      <c r="CI12" s="52"/>
      <c r="CJ12" s="52"/>
      <c r="CK12" s="16"/>
      <c r="CL12" s="78"/>
      <c r="CM12" s="78"/>
      <c r="CN12" s="42"/>
      <c r="CO12" s="78"/>
      <c r="CP12" s="52"/>
      <c r="CQ12" s="78"/>
      <c r="CR12" s="16"/>
      <c r="CS12" s="52"/>
      <c r="CT12" s="52"/>
      <c r="CU12" s="16"/>
      <c r="CV12" s="16"/>
      <c r="CW12" s="52"/>
      <c r="CX12" s="16"/>
      <c r="CY12" s="52"/>
      <c r="CZ12" s="52"/>
      <c r="DA12" s="16"/>
      <c r="DB12" s="52"/>
      <c r="DC12" s="52"/>
      <c r="DD12" s="16"/>
      <c r="DE12" s="78"/>
      <c r="DF12" s="78"/>
      <c r="DG12" s="42"/>
      <c r="DH12" s="78"/>
      <c r="DI12" s="78"/>
      <c r="DJ12" s="16"/>
      <c r="DK12" s="52"/>
      <c r="DL12" s="52"/>
      <c r="DM12" s="16"/>
      <c r="DN12" s="16"/>
      <c r="DO12" s="52"/>
      <c r="DP12" s="16"/>
      <c r="DQ12" s="52"/>
      <c r="DR12" s="52"/>
      <c r="DS12" s="16"/>
      <c r="DT12" s="52"/>
      <c r="DU12" s="52"/>
      <c r="DV12" s="16"/>
      <c r="DW12" s="78"/>
      <c r="DX12" s="78"/>
      <c r="DY12" s="42"/>
      <c r="DZ12" s="78"/>
      <c r="EA12" s="78"/>
      <c r="EB12" s="16"/>
      <c r="EC12" s="52"/>
      <c r="ED12" s="52"/>
      <c r="EE12" s="16"/>
      <c r="EF12" s="16"/>
      <c r="EG12" s="52"/>
      <c r="EH12" s="16"/>
      <c r="EI12" s="52"/>
      <c r="EJ12" s="52"/>
      <c r="EK12" s="16"/>
      <c r="EL12" s="52"/>
      <c r="EM12" s="52"/>
      <c r="EN12" s="16"/>
      <c r="EO12" s="78"/>
      <c r="EP12" s="78"/>
      <c r="EQ12" s="42"/>
      <c r="ER12" s="78"/>
      <c r="ES12" s="78"/>
      <c r="ET12" s="78"/>
      <c r="EU12" s="16"/>
      <c r="EV12" s="52"/>
      <c r="EW12" s="52"/>
      <c r="EX12" s="16"/>
      <c r="EY12" s="16"/>
      <c r="EZ12" s="52"/>
      <c r="FA12" s="16"/>
      <c r="FB12" s="52"/>
      <c r="FC12" s="52"/>
      <c r="FD12" s="16"/>
      <c r="FE12" s="52"/>
      <c r="FF12" s="52"/>
      <c r="FG12" s="16"/>
      <c r="FH12" s="78"/>
      <c r="FI12" s="78"/>
      <c r="FJ12" s="42"/>
      <c r="FK12" s="78"/>
    </row>
    <row r="13" spans="2:170" ht="12.75" customHeight="1">
      <c r="C13" s="27" t="s">
        <v>544</v>
      </c>
      <c r="D13" s="219"/>
      <c r="E13" s="220">
        <v>146.36603830582703</v>
      </c>
      <c r="F13" s="221"/>
      <c r="G13" s="221"/>
      <c r="H13" s="221">
        <v>133.22299318686512</v>
      </c>
      <c r="I13" s="221"/>
      <c r="J13" s="221"/>
      <c r="K13" s="221">
        <v>230.21398329801758</v>
      </c>
      <c r="L13" s="221"/>
      <c r="M13" s="221"/>
      <c r="N13" s="221">
        <v>230.21398329801758</v>
      </c>
      <c r="O13" s="222"/>
      <c r="P13" s="222"/>
      <c r="Q13" s="221">
        <v>376.58002160384461</v>
      </c>
      <c r="R13" s="222"/>
      <c r="S13" s="222"/>
      <c r="T13" s="221">
        <v>363.43697648488273</v>
      </c>
      <c r="U13" s="111"/>
      <c r="V13" s="111"/>
      <c r="W13" s="220">
        <v>145.59359437044523</v>
      </c>
      <c r="X13" s="221"/>
      <c r="Y13" s="221"/>
      <c r="Z13" s="221">
        <v>133.69895390103093</v>
      </c>
      <c r="AA13" s="221"/>
      <c r="AB13" s="221"/>
      <c r="AC13" s="221">
        <v>228.89564682531346</v>
      </c>
      <c r="AD13" s="221"/>
      <c r="AE13" s="221"/>
      <c r="AF13" s="221">
        <v>228.89564682531346</v>
      </c>
      <c r="AG13" s="222"/>
      <c r="AH13" s="222"/>
      <c r="AI13" s="221">
        <v>374.48924119575872</v>
      </c>
      <c r="AJ13" s="222"/>
      <c r="AK13" s="222"/>
      <c r="AL13" s="221">
        <v>362.59460072634442</v>
      </c>
      <c r="AM13" s="111"/>
      <c r="AN13" s="111"/>
      <c r="AO13" s="220">
        <v>93.666405972055685</v>
      </c>
      <c r="AP13" s="221"/>
      <c r="AQ13" s="221"/>
      <c r="AR13" s="221">
        <v>81.211341674277492</v>
      </c>
      <c r="AS13" s="221"/>
      <c r="AT13" s="221"/>
      <c r="AU13" s="221">
        <v>228.65395660048964</v>
      </c>
      <c r="AV13" s="221"/>
      <c r="AW13" s="221"/>
      <c r="AX13" s="221">
        <v>228.65395660048964</v>
      </c>
      <c r="AY13" s="222"/>
      <c r="AZ13" s="222"/>
      <c r="BA13" s="221">
        <v>322.32036257254532</v>
      </c>
      <c r="BB13" s="222"/>
      <c r="BC13" s="222"/>
      <c r="BD13" s="221">
        <v>309.86529827476716</v>
      </c>
      <c r="BE13" s="111"/>
      <c r="BF13" s="111"/>
      <c r="BG13" s="220">
        <v>122.6816277088931</v>
      </c>
      <c r="BH13" s="221"/>
      <c r="BI13" s="221"/>
      <c r="BJ13" s="221">
        <v>109.61433594557649</v>
      </c>
      <c r="BK13" s="221"/>
      <c r="BL13" s="221"/>
      <c r="BM13" s="221">
        <v>278.56579377036132</v>
      </c>
      <c r="BN13" s="221"/>
      <c r="BO13" s="221"/>
      <c r="BP13" s="221">
        <v>278.56579377036132</v>
      </c>
      <c r="BQ13" s="222"/>
      <c r="BR13" s="222"/>
      <c r="BS13" s="221">
        <v>401.2474214792544</v>
      </c>
      <c r="BT13" s="222"/>
      <c r="BU13" s="222"/>
      <c r="BV13" s="221">
        <v>388.18012971593782</v>
      </c>
      <c r="BW13" s="111"/>
      <c r="BX13" s="111"/>
      <c r="BY13" s="220">
        <v>122.2765092960845</v>
      </c>
      <c r="BZ13" s="221"/>
      <c r="CA13" s="221"/>
      <c r="CB13" s="221">
        <v>109.27528455049242</v>
      </c>
      <c r="CC13" s="221"/>
      <c r="CD13" s="221"/>
      <c r="CE13" s="221">
        <v>287.04425128052139</v>
      </c>
      <c r="CF13" s="221"/>
      <c r="CG13" s="221"/>
      <c r="CH13" s="221">
        <v>287.04425128052139</v>
      </c>
      <c r="CI13" s="222"/>
      <c r="CJ13" s="222"/>
      <c r="CK13" s="221">
        <v>409.32076057660589</v>
      </c>
      <c r="CL13" s="222"/>
      <c r="CM13" s="222"/>
      <c r="CN13" s="221">
        <v>396.31953583101381</v>
      </c>
      <c r="CO13" s="111"/>
      <c r="CP13" s="219"/>
      <c r="CQ13" s="111"/>
      <c r="CR13" s="220">
        <v>118.18732350795014</v>
      </c>
      <c r="CS13" s="221"/>
      <c r="CT13" s="221"/>
      <c r="CU13" s="221">
        <v>105.17258004497491</v>
      </c>
      <c r="CV13" s="221"/>
      <c r="CW13" s="221"/>
      <c r="CX13" s="221">
        <v>293.9920340647904</v>
      </c>
      <c r="CY13" s="221"/>
      <c r="CZ13" s="221"/>
      <c r="DA13" s="221">
        <v>293.9920340647904</v>
      </c>
      <c r="DB13" s="222"/>
      <c r="DC13" s="222"/>
      <c r="DD13" s="221">
        <v>412.17935757274051</v>
      </c>
      <c r="DE13" s="222"/>
      <c r="DF13" s="222"/>
      <c r="DG13" s="221">
        <v>399.1646141097653</v>
      </c>
      <c r="DH13" s="111"/>
      <c r="DI13" s="111"/>
      <c r="DJ13" s="220">
        <v>120.72854602134477</v>
      </c>
      <c r="DK13" s="221"/>
      <c r="DL13" s="221"/>
      <c r="DM13" s="221">
        <v>105.17232698074557</v>
      </c>
      <c r="DN13" s="221"/>
      <c r="DO13" s="221"/>
      <c r="DP13" s="221">
        <v>294.174683583422</v>
      </c>
      <c r="DQ13" s="221"/>
      <c r="DR13" s="221"/>
      <c r="DS13" s="221">
        <v>294.174683583422</v>
      </c>
      <c r="DT13" s="222"/>
      <c r="DU13" s="222"/>
      <c r="DV13" s="221">
        <v>414.90322960476675</v>
      </c>
      <c r="DW13" s="222"/>
      <c r="DX13" s="222"/>
      <c r="DY13" s="221">
        <v>399.34701056416759</v>
      </c>
      <c r="DZ13" s="111"/>
      <c r="EA13" s="111"/>
      <c r="EB13" s="220">
        <v>119.46101932688309</v>
      </c>
      <c r="EC13" s="221"/>
      <c r="ED13" s="221"/>
      <c r="EE13" s="221">
        <v>107.57549752896998</v>
      </c>
      <c r="EF13" s="221"/>
      <c r="EG13" s="221"/>
      <c r="EH13" s="221">
        <v>286.55885535107188</v>
      </c>
      <c r="EI13" s="221"/>
      <c r="EJ13" s="221"/>
      <c r="EK13" s="221">
        <v>286.55885535107188</v>
      </c>
      <c r="EL13" s="222"/>
      <c r="EM13" s="222"/>
      <c r="EN13" s="221">
        <v>405.64417485013519</v>
      </c>
      <c r="EO13" s="222"/>
      <c r="EP13" s="222"/>
      <c r="EQ13" s="221">
        <v>394.30198803932677</v>
      </c>
      <c r="ER13" s="111"/>
      <c r="ES13" s="111"/>
      <c r="ET13" s="111"/>
      <c r="EU13" s="220">
        <v>118.35098455337396</v>
      </c>
      <c r="EV13" s="221"/>
      <c r="EW13" s="221"/>
      <c r="EX13" s="221">
        <v>102.71021808932402</v>
      </c>
      <c r="EY13" s="221"/>
      <c r="EZ13" s="221"/>
      <c r="FA13" s="221">
        <v>272.77996326291816</v>
      </c>
      <c r="FB13" s="221"/>
      <c r="FC13" s="221"/>
      <c r="FD13" s="221">
        <v>272.77996581735044</v>
      </c>
      <c r="FE13" s="222"/>
      <c r="FF13" s="222"/>
      <c r="FG13" s="221">
        <v>387.72967837345709</v>
      </c>
      <c r="FH13" s="222"/>
      <c r="FI13" s="222"/>
      <c r="FJ13" s="221">
        <v>372.65400901067454</v>
      </c>
      <c r="FK13" s="111"/>
      <c r="FM13" s="411"/>
      <c r="FN13" s="411"/>
    </row>
    <row r="14" spans="2:170" ht="12.75" customHeight="1">
      <c r="C14" s="27" t="s">
        <v>545</v>
      </c>
      <c r="D14" s="219"/>
      <c r="E14" s="221">
        <v>109.16551678482459</v>
      </c>
      <c r="F14" s="221"/>
      <c r="G14" s="221"/>
      <c r="H14" s="221">
        <v>58.764084498341042</v>
      </c>
      <c r="I14" s="221"/>
      <c r="J14" s="221"/>
      <c r="K14" s="221">
        <v>140.96699465918169</v>
      </c>
      <c r="L14" s="221"/>
      <c r="M14" s="221"/>
      <c r="N14" s="221">
        <v>140.96699465918169</v>
      </c>
      <c r="O14" s="222"/>
      <c r="P14" s="222"/>
      <c r="Q14" s="221">
        <v>250.1325114440063</v>
      </c>
      <c r="R14" s="222"/>
      <c r="S14" s="222"/>
      <c r="T14" s="221">
        <v>199.73107915752274</v>
      </c>
      <c r="U14" s="111"/>
      <c r="V14" s="111"/>
      <c r="W14" s="221">
        <v>108.74039394073083</v>
      </c>
      <c r="X14" s="221"/>
      <c r="Y14" s="221"/>
      <c r="Z14" s="221">
        <v>59.288750708292774</v>
      </c>
      <c r="AA14" s="221"/>
      <c r="AB14" s="221"/>
      <c r="AC14" s="221">
        <v>141.07822193726966</v>
      </c>
      <c r="AD14" s="221"/>
      <c r="AE14" s="221"/>
      <c r="AF14" s="221">
        <v>141.07822193726966</v>
      </c>
      <c r="AG14" s="222"/>
      <c r="AH14" s="222"/>
      <c r="AI14" s="221">
        <v>249.81861587800049</v>
      </c>
      <c r="AJ14" s="222"/>
      <c r="AK14" s="222"/>
      <c r="AL14" s="221">
        <v>200.36697264556244</v>
      </c>
      <c r="AM14" s="111"/>
      <c r="AN14" s="111"/>
      <c r="AO14" s="221">
        <v>109.38830934715706</v>
      </c>
      <c r="AP14" s="221"/>
      <c r="AQ14" s="221"/>
      <c r="AR14" s="221">
        <v>58.593072667911237</v>
      </c>
      <c r="AS14" s="221"/>
      <c r="AT14" s="221"/>
      <c r="AU14" s="221">
        <v>140.42489233153719</v>
      </c>
      <c r="AV14" s="221"/>
      <c r="AW14" s="221"/>
      <c r="AX14" s="221">
        <v>140.42489233153719</v>
      </c>
      <c r="AY14" s="222"/>
      <c r="AZ14" s="222"/>
      <c r="BA14" s="221">
        <v>249.81320167869427</v>
      </c>
      <c r="BB14" s="222"/>
      <c r="BC14" s="222"/>
      <c r="BD14" s="221">
        <v>199.01796499944842</v>
      </c>
      <c r="BE14" s="111"/>
      <c r="BF14" s="111"/>
      <c r="BG14" s="221">
        <v>105.20471431768104</v>
      </c>
      <c r="BH14" s="221"/>
      <c r="BI14" s="221"/>
      <c r="BJ14" s="221">
        <v>50.766238609649712</v>
      </c>
      <c r="BK14" s="221"/>
      <c r="BL14" s="221"/>
      <c r="BM14" s="221">
        <v>162.23361701848722</v>
      </c>
      <c r="BN14" s="221"/>
      <c r="BO14" s="221"/>
      <c r="BP14" s="221">
        <v>162.23361701848722</v>
      </c>
      <c r="BQ14" s="222"/>
      <c r="BR14" s="222"/>
      <c r="BS14" s="221">
        <v>267.43833133616829</v>
      </c>
      <c r="BT14" s="222"/>
      <c r="BU14" s="222"/>
      <c r="BV14" s="221">
        <v>212.99985562813694</v>
      </c>
      <c r="BW14" s="111"/>
      <c r="BX14" s="111"/>
      <c r="BY14" s="221">
        <v>101.0480319935361</v>
      </c>
      <c r="BZ14" s="221"/>
      <c r="CA14" s="221"/>
      <c r="CB14" s="221">
        <v>46.668485647799834</v>
      </c>
      <c r="CC14" s="221"/>
      <c r="CD14" s="221"/>
      <c r="CE14" s="221">
        <v>165.43117168894281</v>
      </c>
      <c r="CF14" s="221"/>
      <c r="CG14" s="221"/>
      <c r="CH14" s="221">
        <v>165.43117168894281</v>
      </c>
      <c r="CI14" s="222"/>
      <c r="CJ14" s="222"/>
      <c r="CK14" s="221">
        <v>266.4792036824789</v>
      </c>
      <c r="CL14" s="222"/>
      <c r="CM14" s="222"/>
      <c r="CN14" s="221">
        <v>212.09965733674264</v>
      </c>
      <c r="CO14" s="111"/>
      <c r="CP14" s="219"/>
      <c r="CQ14" s="111"/>
      <c r="CR14" s="221">
        <v>101.07035246305037</v>
      </c>
      <c r="CS14" s="221"/>
      <c r="CT14" s="221"/>
      <c r="CU14" s="221">
        <v>46.674665935082608</v>
      </c>
      <c r="CV14" s="221"/>
      <c r="CW14" s="221"/>
      <c r="CX14" s="221">
        <v>166.29145895746393</v>
      </c>
      <c r="CY14" s="221"/>
      <c r="CZ14" s="221"/>
      <c r="DA14" s="221">
        <v>166.29145895746393</v>
      </c>
      <c r="DB14" s="222"/>
      <c r="DC14" s="222"/>
      <c r="DD14" s="221">
        <v>267.3618114205143</v>
      </c>
      <c r="DE14" s="222"/>
      <c r="DF14" s="222"/>
      <c r="DG14" s="221">
        <v>212.96612489254653</v>
      </c>
      <c r="DH14" s="111"/>
      <c r="DI14" s="111"/>
      <c r="DJ14" s="220">
        <v>100.69365651527258</v>
      </c>
      <c r="DK14" s="221"/>
      <c r="DL14" s="221"/>
      <c r="DM14" s="221">
        <v>49.943765497527636</v>
      </c>
      <c r="DN14" s="221"/>
      <c r="DO14" s="221"/>
      <c r="DP14" s="221">
        <v>166.45112428945689</v>
      </c>
      <c r="DQ14" s="221"/>
      <c r="DR14" s="221"/>
      <c r="DS14" s="221">
        <v>166.45112428945689</v>
      </c>
      <c r="DT14" s="222"/>
      <c r="DU14" s="222"/>
      <c r="DV14" s="221">
        <v>267.14478080472946</v>
      </c>
      <c r="DW14" s="222"/>
      <c r="DX14" s="222"/>
      <c r="DY14" s="221">
        <v>216.39488978698452</v>
      </c>
      <c r="DZ14" s="111"/>
      <c r="EA14" s="111"/>
      <c r="EB14" s="220">
        <v>101.2253407773912</v>
      </c>
      <c r="EC14" s="221"/>
      <c r="ED14" s="221"/>
      <c r="EE14" s="221">
        <v>50.747987609631835</v>
      </c>
      <c r="EF14" s="221"/>
      <c r="EG14" s="221"/>
      <c r="EH14" s="221">
        <v>166.6910775008065</v>
      </c>
      <c r="EI14" s="221"/>
      <c r="EJ14" s="221"/>
      <c r="EK14" s="221">
        <v>166.6910775008065</v>
      </c>
      <c r="EL14" s="222"/>
      <c r="EM14" s="222"/>
      <c r="EN14" s="221">
        <v>267.70857359679724</v>
      </c>
      <c r="EO14" s="222"/>
      <c r="EP14" s="222"/>
      <c r="EQ14" s="221">
        <v>217.53923502882702</v>
      </c>
      <c r="ER14" s="111"/>
      <c r="ES14" s="111"/>
      <c r="ET14" s="111"/>
      <c r="EU14" s="220">
        <v>101.93953786233936</v>
      </c>
      <c r="EV14" s="221"/>
      <c r="EW14" s="221"/>
      <c r="EX14" s="221">
        <v>51.303880341751615</v>
      </c>
      <c r="EY14" s="221"/>
      <c r="EZ14" s="221"/>
      <c r="FA14" s="221">
        <v>167.48074279183115</v>
      </c>
      <c r="FB14" s="221"/>
      <c r="FC14" s="221"/>
      <c r="FD14" s="221">
        <v>167.48074436019493</v>
      </c>
      <c r="FE14" s="222"/>
      <c r="FF14" s="222"/>
      <c r="FG14" s="221">
        <v>267.4263600679995</v>
      </c>
      <c r="FH14" s="222"/>
      <c r="FI14" s="222"/>
      <c r="FJ14" s="221">
        <v>216.99626714173965</v>
      </c>
      <c r="FK14" s="111"/>
      <c r="FM14" s="411"/>
      <c r="FN14" s="411"/>
    </row>
    <row r="15" spans="2:170" ht="12.75" customHeight="1">
      <c r="C15" s="27" t="s">
        <v>546</v>
      </c>
      <c r="D15" s="219"/>
      <c r="E15" s="221">
        <v>257.54013783756784</v>
      </c>
      <c r="F15" s="221"/>
      <c r="G15" s="221"/>
      <c r="H15" s="221">
        <v>253.48528743810303</v>
      </c>
      <c r="I15" s="221"/>
      <c r="J15" s="221"/>
      <c r="K15" s="221">
        <v>120.49256844326187</v>
      </c>
      <c r="L15" s="221"/>
      <c r="M15" s="221"/>
      <c r="N15" s="221">
        <v>120.49256844326187</v>
      </c>
      <c r="O15" s="222"/>
      <c r="P15" s="222"/>
      <c r="Q15" s="221">
        <v>378.0327062808297</v>
      </c>
      <c r="R15" s="222"/>
      <c r="S15" s="222"/>
      <c r="T15" s="221">
        <v>373.97785588136492</v>
      </c>
      <c r="U15" s="111"/>
      <c r="V15" s="111"/>
      <c r="W15" s="221">
        <v>256.08518790824598</v>
      </c>
      <c r="X15" s="221"/>
      <c r="Y15" s="221"/>
      <c r="Z15" s="221">
        <v>255.22876711633879</v>
      </c>
      <c r="AA15" s="221"/>
      <c r="AB15" s="221"/>
      <c r="AC15" s="221">
        <v>120.58725823555211</v>
      </c>
      <c r="AD15" s="221"/>
      <c r="AE15" s="221"/>
      <c r="AF15" s="221">
        <v>120.58725823555211</v>
      </c>
      <c r="AG15" s="222"/>
      <c r="AH15" s="222"/>
      <c r="AI15" s="221">
        <v>376.67244614379808</v>
      </c>
      <c r="AJ15" s="222"/>
      <c r="AK15" s="222"/>
      <c r="AL15" s="221">
        <v>375.81602535189091</v>
      </c>
      <c r="AM15" s="111"/>
      <c r="AN15" s="111"/>
      <c r="AO15" s="221">
        <v>257.61103798649521</v>
      </c>
      <c r="AP15" s="221"/>
      <c r="AQ15" s="221"/>
      <c r="AR15" s="221">
        <v>255.6232595021925</v>
      </c>
      <c r="AS15" s="221"/>
      <c r="AT15" s="221"/>
      <c r="AU15" s="221">
        <v>120.02882175402043</v>
      </c>
      <c r="AV15" s="221"/>
      <c r="AW15" s="221"/>
      <c r="AX15" s="221">
        <v>120.02882175402043</v>
      </c>
      <c r="AY15" s="222"/>
      <c r="AZ15" s="222"/>
      <c r="BA15" s="221">
        <v>377.63985974051565</v>
      </c>
      <c r="BB15" s="222"/>
      <c r="BC15" s="222"/>
      <c r="BD15" s="221">
        <v>375.65208125621291</v>
      </c>
      <c r="BE15" s="111"/>
      <c r="BF15" s="111"/>
      <c r="BG15" s="221">
        <v>249.10680726413747</v>
      </c>
      <c r="BH15" s="221"/>
      <c r="BI15" s="221"/>
      <c r="BJ15" s="221">
        <v>245.01398322469331</v>
      </c>
      <c r="BK15" s="221"/>
      <c r="BL15" s="221"/>
      <c r="BM15" s="221">
        <v>141.45069495433603</v>
      </c>
      <c r="BN15" s="221"/>
      <c r="BO15" s="221"/>
      <c r="BP15" s="221">
        <v>141.45069495433603</v>
      </c>
      <c r="BQ15" s="222"/>
      <c r="BR15" s="222"/>
      <c r="BS15" s="221">
        <v>390.55750221847347</v>
      </c>
      <c r="BT15" s="222"/>
      <c r="BU15" s="222"/>
      <c r="BV15" s="221">
        <v>386.46467817902931</v>
      </c>
      <c r="BW15" s="111"/>
      <c r="BX15" s="111"/>
      <c r="BY15" s="221">
        <v>247.35421352901534</v>
      </c>
      <c r="BZ15" s="221"/>
      <c r="CA15" s="221"/>
      <c r="CB15" s="221">
        <v>243.39440988506763</v>
      </c>
      <c r="CC15" s="221"/>
      <c r="CD15" s="221"/>
      <c r="CE15" s="221">
        <v>141.11902829687185</v>
      </c>
      <c r="CF15" s="221"/>
      <c r="CG15" s="221"/>
      <c r="CH15" s="221">
        <v>141.11902829687185</v>
      </c>
      <c r="CI15" s="222"/>
      <c r="CJ15" s="222"/>
      <c r="CK15" s="221">
        <v>388.47324182588716</v>
      </c>
      <c r="CL15" s="222"/>
      <c r="CM15" s="222"/>
      <c r="CN15" s="221">
        <v>384.51343818193948</v>
      </c>
      <c r="CO15" s="111"/>
      <c r="CP15" s="219"/>
      <c r="CQ15" s="111"/>
      <c r="CR15" s="221">
        <v>247.39784833163165</v>
      </c>
      <c r="CS15" s="221"/>
      <c r="CT15" s="221"/>
      <c r="CU15" s="221">
        <v>243.41463615610951</v>
      </c>
      <c r="CV15" s="221"/>
      <c r="CW15" s="221"/>
      <c r="CX15" s="221">
        <v>142.86217929558319</v>
      </c>
      <c r="CY15" s="221"/>
      <c r="CZ15" s="221"/>
      <c r="DA15" s="221">
        <v>142.86217929558319</v>
      </c>
      <c r="DB15" s="222"/>
      <c r="DC15" s="222"/>
      <c r="DD15" s="221">
        <v>390.26002762721487</v>
      </c>
      <c r="DE15" s="222"/>
      <c r="DF15" s="222"/>
      <c r="DG15" s="221">
        <v>386.2768154516927</v>
      </c>
      <c r="DH15" s="111"/>
      <c r="DI15" s="111"/>
      <c r="DJ15" s="221">
        <v>247.17536681317512</v>
      </c>
      <c r="DK15" s="221"/>
      <c r="DL15" s="221"/>
      <c r="DM15" s="221">
        <v>243.47859942904893</v>
      </c>
      <c r="DN15" s="221"/>
      <c r="DO15" s="221"/>
      <c r="DP15" s="221">
        <v>143.0188250667816</v>
      </c>
      <c r="DQ15" s="221"/>
      <c r="DR15" s="221"/>
      <c r="DS15" s="221">
        <v>143.0188250667816</v>
      </c>
      <c r="DT15" s="222"/>
      <c r="DU15" s="222"/>
      <c r="DV15" s="221">
        <v>390.19419187995675</v>
      </c>
      <c r="DW15" s="222"/>
      <c r="DX15" s="222"/>
      <c r="DY15" s="221">
        <v>386.4974244958305</v>
      </c>
      <c r="DZ15" s="111"/>
      <c r="EA15" s="111"/>
      <c r="EB15" s="221">
        <v>247.63180225085608</v>
      </c>
      <c r="EC15" s="221"/>
      <c r="ED15" s="221"/>
      <c r="EE15" s="221">
        <v>242.91564247910233</v>
      </c>
      <c r="EF15" s="221"/>
      <c r="EG15" s="221"/>
      <c r="EH15" s="221">
        <v>143.00819681312373</v>
      </c>
      <c r="EI15" s="221"/>
      <c r="EJ15" s="221"/>
      <c r="EK15" s="221">
        <v>143.00819681312373</v>
      </c>
      <c r="EL15" s="222"/>
      <c r="EM15" s="222"/>
      <c r="EN15" s="221">
        <v>390.51589495491993</v>
      </c>
      <c r="EO15" s="222"/>
      <c r="EP15" s="222"/>
      <c r="EQ15" s="221">
        <v>385.96499777713728</v>
      </c>
      <c r="ER15" s="111"/>
      <c r="ES15" s="111"/>
      <c r="ET15" s="111"/>
      <c r="EU15" s="221">
        <v>247.21641809430679</v>
      </c>
      <c r="EV15" s="221"/>
      <c r="EW15" s="221"/>
      <c r="EX15" s="221">
        <v>243.42569888710318</v>
      </c>
      <c r="EY15" s="221"/>
      <c r="EZ15" s="221"/>
      <c r="FA15" s="221">
        <v>145.56440941383909</v>
      </c>
      <c r="FB15" s="221"/>
      <c r="FC15" s="221"/>
      <c r="FD15" s="221">
        <v>145.56441077696863</v>
      </c>
      <c r="FE15" s="222"/>
      <c r="FF15" s="222"/>
      <c r="FG15" s="221">
        <v>391.55921136690409</v>
      </c>
      <c r="FH15" s="222"/>
      <c r="FI15" s="222"/>
      <c r="FJ15" s="221">
        <v>388.23075515490819</v>
      </c>
      <c r="FK15" s="111"/>
      <c r="FM15" s="411"/>
      <c r="FN15" s="411"/>
    </row>
    <row r="16" spans="2:170" ht="12.75" customHeight="1">
      <c r="C16" s="27" t="s">
        <v>547</v>
      </c>
      <c r="D16" s="219"/>
      <c r="E16" s="221">
        <v>164.50161943233962</v>
      </c>
      <c r="F16" s="221"/>
      <c r="G16" s="221"/>
      <c r="H16" s="221">
        <v>31.044740339795052</v>
      </c>
      <c r="I16" s="221"/>
      <c r="J16" s="221"/>
      <c r="K16" s="221">
        <v>160.98260769835082</v>
      </c>
      <c r="L16" s="221"/>
      <c r="M16" s="221"/>
      <c r="N16" s="221">
        <v>160.98260769835082</v>
      </c>
      <c r="O16" s="222"/>
      <c r="P16" s="222"/>
      <c r="Q16" s="221">
        <v>325.48422713069044</v>
      </c>
      <c r="R16" s="222"/>
      <c r="S16" s="222"/>
      <c r="T16" s="221">
        <v>192.02734803814587</v>
      </c>
      <c r="U16" s="111"/>
      <c r="V16" s="111"/>
      <c r="W16" s="221">
        <v>160.69631573843671</v>
      </c>
      <c r="X16" s="221"/>
      <c r="Y16" s="221"/>
      <c r="Z16" s="221">
        <v>28.34738963644218</v>
      </c>
      <c r="AA16" s="221"/>
      <c r="AB16" s="221"/>
      <c r="AC16" s="221">
        <v>163.51507980259765</v>
      </c>
      <c r="AD16" s="221"/>
      <c r="AE16" s="221"/>
      <c r="AF16" s="221">
        <v>163.51507980259765</v>
      </c>
      <c r="AG16" s="222"/>
      <c r="AH16" s="222"/>
      <c r="AI16" s="221">
        <v>324.21139554103434</v>
      </c>
      <c r="AJ16" s="222"/>
      <c r="AK16" s="222"/>
      <c r="AL16" s="221">
        <v>191.86246943903984</v>
      </c>
      <c r="AM16" s="111"/>
      <c r="AN16" s="111"/>
      <c r="AO16" s="221">
        <v>161.65380370541627</v>
      </c>
      <c r="AP16" s="221"/>
      <c r="AQ16" s="221"/>
      <c r="AR16" s="221">
        <v>28.398865224460391</v>
      </c>
      <c r="AS16" s="221"/>
      <c r="AT16" s="221"/>
      <c r="AU16" s="221">
        <v>162.75784568700007</v>
      </c>
      <c r="AV16" s="221"/>
      <c r="AW16" s="221"/>
      <c r="AX16" s="221">
        <v>162.75784568700007</v>
      </c>
      <c r="AY16" s="222"/>
      <c r="AZ16" s="222"/>
      <c r="BA16" s="221">
        <v>324.41164939241634</v>
      </c>
      <c r="BB16" s="222"/>
      <c r="BC16" s="222"/>
      <c r="BD16" s="221">
        <v>191.15671091146046</v>
      </c>
      <c r="BE16" s="111"/>
      <c r="BF16" s="111"/>
      <c r="BG16" s="221">
        <v>162.0504640465436</v>
      </c>
      <c r="BH16" s="221"/>
      <c r="BI16" s="221"/>
      <c r="BJ16" s="221">
        <v>28.01137417904247</v>
      </c>
      <c r="BK16" s="221"/>
      <c r="BL16" s="221"/>
      <c r="BM16" s="221">
        <v>182.28762010012147</v>
      </c>
      <c r="BN16" s="221"/>
      <c r="BO16" s="221"/>
      <c r="BP16" s="221">
        <v>182.28762010012147</v>
      </c>
      <c r="BQ16" s="222"/>
      <c r="BR16" s="222"/>
      <c r="BS16" s="221">
        <v>344.3380841466651</v>
      </c>
      <c r="BT16" s="222"/>
      <c r="BU16" s="222"/>
      <c r="BV16" s="221">
        <v>210.29899427916394</v>
      </c>
      <c r="BW16" s="111"/>
      <c r="BX16" s="111"/>
      <c r="BY16" s="221">
        <v>161.95427049543474</v>
      </c>
      <c r="BZ16" s="221"/>
      <c r="CA16" s="221"/>
      <c r="CB16" s="221">
        <v>28.009094558780273</v>
      </c>
      <c r="CC16" s="221"/>
      <c r="CD16" s="221"/>
      <c r="CE16" s="221">
        <v>181.34147032882984</v>
      </c>
      <c r="CF16" s="221"/>
      <c r="CG16" s="221"/>
      <c r="CH16" s="221">
        <v>181.34147032882984</v>
      </c>
      <c r="CI16" s="222"/>
      <c r="CJ16" s="222"/>
      <c r="CK16" s="221">
        <v>343.29574082426461</v>
      </c>
      <c r="CL16" s="222"/>
      <c r="CM16" s="222"/>
      <c r="CN16" s="221">
        <v>209.35056488761012</v>
      </c>
      <c r="CO16" s="111"/>
      <c r="CP16" s="219"/>
      <c r="CQ16" s="111"/>
      <c r="CR16" s="221">
        <v>161.99004452572484</v>
      </c>
      <c r="CS16" s="221"/>
      <c r="CT16" s="221"/>
      <c r="CU16" s="221">
        <v>28.012803791006281</v>
      </c>
      <c r="CV16" s="221"/>
      <c r="CW16" s="221"/>
      <c r="CX16" s="221">
        <v>182.28499440434348</v>
      </c>
      <c r="CY16" s="221"/>
      <c r="CZ16" s="221"/>
      <c r="DA16" s="221">
        <v>182.28499440434348</v>
      </c>
      <c r="DB16" s="222"/>
      <c r="DC16" s="222"/>
      <c r="DD16" s="221">
        <v>344.27503893006832</v>
      </c>
      <c r="DE16" s="222"/>
      <c r="DF16" s="222"/>
      <c r="DG16" s="221">
        <v>210.29779819534977</v>
      </c>
      <c r="DH16" s="111"/>
      <c r="DI16" s="111"/>
      <c r="DJ16" s="221">
        <v>162.04203484763451</v>
      </c>
      <c r="DK16" s="221"/>
      <c r="DL16" s="221"/>
      <c r="DM16" s="221">
        <v>27.922951124241752</v>
      </c>
      <c r="DN16" s="221"/>
      <c r="DO16" s="221"/>
      <c r="DP16" s="221">
        <v>182.45652026760666</v>
      </c>
      <c r="DQ16" s="221"/>
      <c r="DR16" s="221"/>
      <c r="DS16" s="221">
        <v>182.45652026760666</v>
      </c>
      <c r="DT16" s="222"/>
      <c r="DU16" s="222"/>
      <c r="DV16" s="221">
        <v>344.49855511524117</v>
      </c>
      <c r="DW16" s="222"/>
      <c r="DX16" s="222"/>
      <c r="DY16" s="221">
        <v>210.37947139184843</v>
      </c>
      <c r="DZ16" s="111"/>
      <c r="EA16" s="111"/>
      <c r="EB16" s="221">
        <v>165.04420351241959</v>
      </c>
      <c r="EC16" s="221"/>
      <c r="ED16" s="221"/>
      <c r="EE16" s="221">
        <v>29.555764941444178</v>
      </c>
      <c r="EF16" s="221"/>
      <c r="EG16" s="221"/>
      <c r="EH16" s="221">
        <v>180.52695156862276</v>
      </c>
      <c r="EI16" s="221"/>
      <c r="EJ16" s="221"/>
      <c r="EK16" s="221">
        <v>180.52695156862276</v>
      </c>
      <c r="EL16" s="222"/>
      <c r="EM16" s="222"/>
      <c r="EN16" s="221">
        <v>345.36474278078737</v>
      </c>
      <c r="EO16" s="222"/>
      <c r="EP16" s="222"/>
      <c r="EQ16" s="221">
        <v>210.19690660697208</v>
      </c>
      <c r="ER16" s="111"/>
      <c r="ES16" s="111"/>
      <c r="ET16" s="111"/>
      <c r="EU16" s="221">
        <v>161.78231484125627</v>
      </c>
      <c r="EV16" s="221"/>
      <c r="EW16" s="221"/>
      <c r="EX16" s="221">
        <v>27.594764978710614</v>
      </c>
      <c r="EY16" s="221"/>
      <c r="EZ16" s="221"/>
      <c r="FA16" s="221">
        <v>181.25397377318671</v>
      </c>
      <c r="FB16" s="221"/>
      <c r="FC16" s="221"/>
      <c r="FD16" s="221">
        <v>181.2539754705291</v>
      </c>
      <c r="FE16" s="222"/>
      <c r="FF16" s="222"/>
      <c r="FG16" s="221">
        <v>341.04429884499245</v>
      </c>
      <c r="FH16" s="222"/>
      <c r="FI16" s="222"/>
      <c r="FJ16" s="221">
        <v>206.80165024926882</v>
      </c>
      <c r="FK16" s="111"/>
      <c r="FM16" s="411"/>
      <c r="FN16" s="411"/>
    </row>
    <row r="17" spans="3:170" ht="12.75" customHeight="1">
      <c r="C17" s="27" t="s">
        <v>548</v>
      </c>
      <c r="D17" s="219"/>
      <c r="E17" s="221">
        <v>341.14928055309184</v>
      </c>
      <c r="F17" s="221"/>
      <c r="G17" s="221"/>
      <c r="H17" s="221">
        <v>315.83420332022177</v>
      </c>
      <c r="I17" s="221"/>
      <c r="J17" s="221"/>
      <c r="K17" s="221">
        <v>119.72944496750632</v>
      </c>
      <c r="L17" s="221"/>
      <c r="M17" s="221"/>
      <c r="N17" s="221">
        <v>119.72944496750632</v>
      </c>
      <c r="O17" s="222"/>
      <c r="P17" s="222"/>
      <c r="Q17" s="221">
        <v>460.87872552059815</v>
      </c>
      <c r="R17" s="222"/>
      <c r="S17" s="222"/>
      <c r="T17" s="221">
        <v>435.56364828772809</v>
      </c>
      <c r="U17" s="111"/>
      <c r="V17" s="111"/>
      <c r="W17" s="221">
        <v>339.46169094018728</v>
      </c>
      <c r="X17" s="221"/>
      <c r="Y17" s="221"/>
      <c r="Z17" s="221">
        <v>318.25052823928837</v>
      </c>
      <c r="AA17" s="221"/>
      <c r="AB17" s="221"/>
      <c r="AC17" s="221">
        <v>119.82353505473306</v>
      </c>
      <c r="AD17" s="221"/>
      <c r="AE17" s="221"/>
      <c r="AF17" s="221">
        <v>119.82353505473306</v>
      </c>
      <c r="AG17" s="222"/>
      <c r="AH17" s="222"/>
      <c r="AI17" s="221">
        <v>459.28522599492032</v>
      </c>
      <c r="AJ17" s="222"/>
      <c r="AK17" s="222"/>
      <c r="AL17" s="221">
        <v>438.07406329402141</v>
      </c>
      <c r="AM17" s="111"/>
      <c r="AN17" s="111"/>
      <c r="AO17" s="221">
        <v>340.61810011397426</v>
      </c>
      <c r="AP17" s="221"/>
      <c r="AQ17" s="221"/>
      <c r="AR17" s="221">
        <v>318.21578661613722</v>
      </c>
      <c r="AS17" s="221"/>
      <c r="AT17" s="221"/>
      <c r="AU17" s="221">
        <v>119.25705325981809</v>
      </c>
      <c r="AV17" s="221"/>
      <c r="AW17" s="221"/>
      <c r="AX17" s="221">
        <v>119.25705325981809</v>
      </c>
      <c r="AY17" s="222"/>
      <c r="AZ17" s="222"/>
      <c r="BA17" s="221">
        <v>459.87515337379239</v>
      </c>
      <c r="BB17" s="222"/>
      <c r="BC17" s="222"/>
      <c r="BD17" s="221">
        <v>437.47283987595529</v>
      </c>
      <c r="BE17" s="111"/>
      <c r="BF17" s="111"/>
      <c r="BG17" s="221">
        <v>328.39085238212959</v>
      </c>
      <c r="BH17" s="221"/>
      <c r="BI17" s="221"/>
      <c r="BJ17" s="221">
        <v>313.74179768391616</v>
      </c>
      <c r="BK17" s="221"/>
      <c r="BL17" s="221"/>
      <c r="BM17" s="221">
        <v>133.56005965796618</v>
      </c>
      <c r="BN17" s="221"/>
      <c r="BO17" s="221"/>
      <c r="BP17" s="221">
        <v>133.56005965796618</v>
      </c>
      <c r="BQ17" s="222"/>
      <c r="BR17" s="222"/>
      <c r="BS17" s="221">
        <v>461.95091204009577</v>
      </c>
      <c r="BT17" s="222"/>
      <c r="BU17" s="222"/>
      <c r="BV17" s="221">
        <v>447.30185734188234</v>
      </c>
      <c r="BW17" s="111"/>
      <c r="BX17" s="111"/>
      <c r="BY17" s="221">
        <v>315.55195945131629</v>
      </c>
      <c r="BZ17" s="221"/>
      <c r="CA17" s="221"/>
      <c r="CB17" s="221">
        <v>300.83616288423195</v>
      </c>
      <c r="CC17" s="221"/>
      <c r="CD17" s="221"/>
      <c r="CE17" s="221">
        <v>145.08543557103758</v>
      </c>
      <c r="CF17" s="221"/>
      <c r="CG17" s="221"/>
      <c r="CH17" s="221">
        <v>145.08543557103758</v>
      </c>
      <c r="CI17" s="222"/>
      <c r="CJ17" s="222"/>
      <c r="CK17" s="221">
        <v>460.63739502235387</v>
      </c>
      <c r="CL17" s="222"/>
      <c r="CM17" s="222"/>
      <c r="CN17" s="221">
        <v>445.92159845526953</v>
      </c>
      <c r="CO17" s="111"/>
      <c r="CP17" s="219"/>
      <c r="CQ17" s="111"/>
      <c r="CR17" s="221">
        <v>311.37242758289449</v>
      </c>
      <c r="CS17" s="221"/>
      <c r="CT17" s="221"/>
      <c r="CU17" s="221">
        <v>296.6017436897227</v>
      </c>
      <c r="CV17" s="221"/>
      <c r="CW17" s="221"/>
      <c r="CX17" s="221">
        <v>145.21528501150195</v>
      </c>
      <c r="CY17" s="221"/>
      <c r="CZ17" s="221"/>
      <c r="DA17" s="221">
        <v>145.21528501150195</v>
      </c>
      <c r="DB17" s="222"/>
      <c r="DC17" s="222"/>
      <c r="DD17" s="221">
        <v>456.58771259439641</v>
      </c>
      <c r="DE17" s="222"/>
      <c r="DF17" s="222"/>
      <c r="DG17" s="221">
        <v>441.81702870122467</v>
      </c>
      <c r="DH17" s="111"/>
      <c r="DI17" s="111"/>
      <c r="DJ17" s="221">
        <v>316.76830547600537</v>
      </c>
      <c r="DK17" s="221"/>
      <c r="DL17" s="221"/>
      <c r="DM17" s="221">
        <v>292.35922234859089</v>
      </c>
      <c r="DN17" s="221"/>
      <c r="DO17" s="221"/>
      <c r="DP17" s="221">
        <v>146.61167440733695</v>
      </c>
      <c r="DQ17" s="221"/>
      <c r="DR17" s="221"/>
      <c r="DS17" s="221">
        <v>146.61167440733695</v>
      </c>
      <c r="DT17" s="222"/>
      <c r="DU17" s="222"/>
      <c r="DV17" s="221">
        <v>463.37997988334234</v>
      </c>
      <c r="DW17" s="222"/>
      <c r="DX17" s="222"/>
      <c r="DY17" s="221">
        <v>438.97089675592781</v>
      </c>
      <c r="DZ17" s="111"/>
      <c r="EA17" s="111"/>
      <c r="EB17" s="221">
        <v>319.07018955365902</v>
      </c>
      <c r="EC17" s="221"/>
      <c r="ED17" s="221"/>
      <c r="EE17" s="221">
        <v>295.88788350788508</v>
      </c>
      <c r="EF17" s="221"/>
      <c r="EG17" s="221"/>
      <c r="EH17" s="221">
        <v>146.62581128909537</v>
      </c>
      <c r="EI17" s="221"/>
      <c r="EJ17" s="221"/>
      <c r="EK17" s="221">
        <v>146.62581128909537</v>
      </c>
      <c r="EL17" s="222"/>
      <c r="EM17" s="222"/>
      <c r="EN17" s="221">
        <v>465.59073119581933</v>
      </c>
      <c r="EO17" s="222"/>
      <c r="EP17" s="222"/>
      <c r="EQ17" s="221">
        <v>442.54537717577603</v>
      </c>
      <c r="ER17" s="111"/>
      <c r="ES17" s="111"/>
      <c r="ET17" s="111"/>
      <c r="EU17" s="221">
        <v>314.56195907346626</v>
      </c>
      <c r="EV17" s="221"/>
      <c r="EW17" s="221"/>
      <c r="EX17" s="221">
        <v>290.26894846424284</v>
      </c>
      <c r="EY17" s="221"/>
      <c r="EZ17" s="221"/>
      <c r="FA17" s="221">
        <v>153.42953074239961</v>
      </c>
      <c r="FB17" s="221"/>
      <c r="FC17" s="221"/>
      <c r="FD17" s="221">
        <v>153.42951290382544</v>
      </c>
      <c r="FE17" s="222"/>
      <c r="FF17" s="222"/>
      <c r="FG17" s="221">
        <v>466.87792550496852</v>
      </c>
      <c r="FH17" s="222"/>
      <c r="FI17" s="222"/>
      <c r="FJ17" s="221">
        <v>443.03277856789532</v>
      </c>
      <c r="FK17" s="111"/>
      <c r="FM17" s="411"/>
      <c r="FN17" s="411"/>
    </row>
    <row r="18" spans="3:170" ht="12.75" customHeight="1">
      <c r="C18" s="27" t="s">
        <v>549</v>
      </c>
      <c r="D18" s="219"/>
      <c r="E18" s="221">
        <v>285.05581045017965</v>
      </c>
      <c r="F18" s="221"/>
      <c r="G18" s="221"/>
      <c r="H18" s="221">
        <v>284.98856441492546</v>
      </c>
      <c r="I18" s="221"/>
      <c r="J18" s="221"/>
      <c r="K18" s="221">
        <v>51.659412272344191</v>
      </c>
      <c r="L18" s="221"/>
      <c r="M18" s="221"/>
      <c r="N18" s="221">
        <v>51.659412272344191</v>
      </c>
      <c r="O18" s="222"/>
      <c r="P18" s="222"/>
      <c r="Q18" s="221">
        <v>336.71522272252383</v>
      </c>
      <c r="R18" s="222"/>
      <c r="S18" s="222"/>
      <c r="T18" s="221">
        <v>336.64797668726965</v>
      </c>
      <c r="U18" s="111"/>
      <c r="V18" s="111"/>
      <c r="W18" s="221">
        <v>283.44430622774632</v>
      </c>
      <c r="X18" s="221"/>
      <c r="Y18" s="221"/>
      <c r="Z18" s="221">
        <v>283.44430622774632</v>
      </c>
      <c r="AA18" s="221"/>
      <c r="AB18" s="221"/>
      <c r="AC18" s="221">
        <v>51.700009124756768</v>
      </c>
      <c r="AD18" s="221"/>
      <c r="AE18" s="221"/>
      <c r="AF18" s="221">
        <v>51.700009124756768</v>
      </c>
      <c r="AG18" s="222"/>
      <c r="AH18" s="222"/>
      <c r="AI18" s="221">
        <v>335.1443153525031</v>
      </c>
      <c r="AJ18" s="222"/>
      <c r="AK18" s="222"/>
      <c r="AL18" s="221">
        <v>335.1443153525031</v>
      </c>
      <c r="AM18" s="111"/>
      <c r="AN18" s="111"/>
      <c r="AO18" s="221">
        <v>285.1331720320108</v>
      </c>
      <c r="AP18" s="221"/>
      <c r="AQ18" s="221"/>
      <c r="AR18" s="221">
        <v>285.1331720320108</v>
      </c>
      <c r="AS18" s="111"/>
      <c r="AT18" s="221"/>
      <c r="AU18" s="221">
        <v>51.460587716448536</v>
      </c>
      <c r="AV18" s="221"/>
      <c r="AW18" s="221"/>
      <c r="AX18" s="221">
        <v>51.460587716448536</v>
      </c>
      <c r="AY18" s="222"/>
      <c r="AZ18" s="222"/>
      <c r="BA18" s="221">
        <v>336.59375974845932</v>
      </c>
      <c r="BB18" s="222"/>
      <c r="BC18" s="222"/>
      <c r="BD18" s="221">
        <v>336.59375974845932</v>
      </c>
      <c r="BE18" s="111"/>
      <c r="BF18" s="111"/>
      <c r="BG18" s="221">
        <v>283.60532367765222</v>
      </c>
      <c r="BH18" s="221"/>
      <c r="BI18" s="221"/>
      <c r="BJ18" s="221">
        <v>283.5463807220732</v>
      </c>
      <c r="BK18" s="111"/>
      <c r="BL18" s="221"/>
      <c r="BM18" s="221">
        <v>57.63548923979279</v>
      </c>
      <c r="BN18" s="221"/>
      <c r="BO18" s="221"/>
      <c r="BP18" s="221">
        <v>57.63548923979279</v>
      </c>
      <c r="BQ18" s="222"/>
      <c r="BR18" s="222"/>
      <c r="BS18" s="221">
        <v>341.240812917445</v>
      </c>
      <c r="BT18" s="222"/>
      <c r="BU18" s="222"/>
      <c r="BV18" s="221">
        <v>341.18186996186597</v>
      </c>
      <c r="BW18" s="111"/>
      <c r="BX18" s="111"/>
      <c r="BY18" s="221">
        <v>283.43172418475717</v>
      </c>
      <c r="BZ18" s="221"/>
      <c r="CA18" s="221"/>
      <c r="CB18" s="221">
        <v>283.43172418475717</v>
      </c>
      <c r="CC18" s="111"/>
      <c r="CD18" s="221"/>
      <c r="CE18" s="221">
        <v>57.336336697603919</v>
      </c>
      <c r="CF18" s="221"/>
      <c r="CG18" s="221"/>
      <c r="CH18" s="221">
        <v>57.336336697603919</v>
      </c>
      <c r="CI18" s="222"/>
      <c r="CJ18" s="222"/>
      <c r="CK18" s="221">
        <v>340.76806088236111</v>
      </c>
      <c r="CL18" s="222"/>
      <c r="CM18" s="222"/>
      <c r="CN18" s="221">
        <v>340.76806088236111</v>
      </c>
      <c r="CO18" s="111"/>
      <c r="CP18" s="219"/>
      <c r="CQ18" s="111"/>
      <c r="CR18" s="221">
        <v>283.49433133339954</v>
      </c>
      <c r="CS18" s="221"/>
      <c r="CT18" s="221"/>
      <c r="CU18" s="221">
        <v>283.49433133339954</v>
      </c>
      <c r="CV18" s="111"/>
      <c r="CW18" s="221"/>
      <c r="CX18" s="221">
        <v>57.634501305766975</v>
      </c>
      <c r="CY18" s="221"/>
      <c r="CZ18" s="221"/>
      <c r="DA18" s="221">
        <v>57.634501305766975</v>
      </c>
      <c r="DB18" s="222"/>
      <c r="DC18" s="222"/>
      <c r="DD18" s="221">
        <v>341.12883263916649</v>
      </c>
      <c r="DE18" s="222"/>
      <c r="DF18" s="222"/>
      <c r="DG18" s="221">
        <v>341.12883263916649</v>
      </c>
      <c r="DH18" s="111"/>
      <c r="DI18" s="111"/>
      <c r="DJ18" s="221">
        <v>282.4367324813681</v>
      </c>
      <c r="DK18" s="221"/>
      <c r="DL18" s="221"/>
      <c r="DM18" s="221">
        <v>282.4367324813681</v>
      </c>
      <c r="DN18" s="111"/>
      <c r="DO18" s="221"/>
      <c r="DP18" s="221">
        <v>57.501569875446961</v>
      </c>
      <c r="DQ18" s="221"/>
      <c r="DR18" s="221"/>
      <c r="DS18" s="221">
        <v>57.501569875446961</v>
      </c>
      <c r="DT18" s="222"/>
      <c r="DU18" s="222"/>
      <c r="DV18" s="221">
        <v>339.93830235681503</v>
      </c>
      <c r="DW18" s="222"/>
      <c r="DX18" s="222"/>
      <c r="DY18" s="221">
        <v>339.93830235681503</v>
      </c>
      <c r="DZ18" s="111"/>
      <c r="EA18" s="111"/>
      <c r="EB18" s="221">
        <v>285.33115263309446</v>
      </c>
      <c r="EC18" s="221"/>
      <c r="ED18" s="221"/>
      <c r="EE18" s="221">
        <v>286.09786386248521</v>
      </c>
      <c r="EF18" s="111"/>
      <c r="EG18" s="221"/>
      <c r="EH18" s="221">
        <v>56.1648376340342</v>
      </c>
      <c r="EI18" s="221"/>
      <c r="EJ18" s="221"/>
      <c r="EK18" s="221">
        <v>56.1648376340342</v>
      </c>
      <c r="EL18" s="222"/>
      <c r="EM18" s="222"/>
      <c r="EN18" s="221">
        <v>341.51066097463791</v>
      </c>
      <c r="EO18" s="222"/>
      <c r="EP18" s="222"/>
      <c r="EQ18" s="221">
        <v>342.23603638081994</v>
      </c>
      <c r="ER18" s="111"/>
      <c r="ES18" s="111"/>
      <c r="ET18" s="111"/>
      <c r="EU18" s="221">
        <v>282.66911538767545</v>
      </c>
      <c r="EV18" s="221"/>
      <c r="EW18" s="221"/>
      <c r="EX18" s="221">
        <v>283.01396990021783</v>
      </c>
      <c r="EY18" s="111"/>
      <c r="EZ18" s="221"/>
      <c r="FA18" s="221">
        <v>58.586906835269616</v>
      </c>
      <c r="FB18" s="221"/>
      <c r="FC18" s="221"/>
      <c r="FD18" s="221">
        <v>58.586907383903338</v>
      </c>
      <c r="FE18" s="222"/>
      <c r="FF18" s="222"/>
      <c r="FG18" s="221">
        <v>341.35488539349927</v>
      </c>
      <c r="FH18" s="222"/>
      <c r="FI18" s="222"/>
      <c r="FJ18" s="221">
        <v>342.03507473407137</v>
      </c>
      <c r="FK18" s="111"/>
      <c r="FM18" s="411"/>
      <c r="FN18" s="411"/>
    </row>
    <row r="19" spans="3:170" ht="12.75" customHeight="1">
      <c r="C19" s="27" t="s">
        <v>550</v>
      </c>
      <c r="D19" s="219"/>
      <c r="E19" s="221">
        <v>476.2493522348787</v>
      </c>
      <c r="F19" s="221"/>
      <c r="G19" s="221"/>
      <c r="H19" s="221">
        <v>181.84296015377569</v>
      </c>
      <c r="I19" s="221"/>
      <c r="J19" s="221"/>
      <c r="K19" s="221">
        <v>106.65662332760039</v>
      </c>
      <c r="L19" s="221"/>
      <c r="M19" s="221"/>
      <c r="N19" s="221">
        <v>106.65662332760039</v>
      </c>
      <c r="O19" s="222"/>
      <c r="P19" s="222"/>
      <c r="Q19" s="221">
        <v>582.90597556247906</v>
      </c>
      <c r="R19" s="222"/>
      <c r="S19" s="222"/>
      <c r="T19" s="221">
        <v>288.49958348137608</v>
      </c>
      <c r="U19" s="111"/>
      <c r="V19" s="111"/>
      <c r="W19" s="221">
        <v>473.53697248398811</v>
      </c>
      <c r="X19" s="221"/>
      <c r="Y19" s="221"/>
      <c r="Z19" s="221">
        <v>182.15260636843436</v>
      </c>
      <c r="AA19" s="221"/>
      <c r="AB19" s="221"/>
      <c r="AC19" s="221">
        <v>106.74044006119441</v>
      </c>
      <c r="AD19" s="221"/>
      <c r="AE19" s="221"/>
      <c r="AF19" s="221">
        <v>106.74044006119441</v>
      </c>
      <c r="AG19" s="222"/>
      <c r="AH19" s="222"/>
      <c r="AI19" s="221">
        <v>580.27741254518253</v>
      </c>
      <c r="AJ19" s="222"/>
      <c r="AK19" s="222"/>
      <c r="AL19" s="221">
        <v>288.89304642962878</v>
      </c>
      <c r="AM19" s="111"/>
      <c r="AN19" s="111"/>
      <c r="AO19" s="221">
        <v>476.35848056268827</v>
      </c>
      <c r="AP19" s="221"/>
      <c r="AQ19" s="221"/>
      <c r="AR19" s="221">
        <v>179.59508095731684</v>
      </c>
      <c r="AS19" s="221"/>
      <c r="AT19" s="221"/>
      <c r="AU19" s="221">
        <v>106.24612783735662</v>
      </c>
      <c r="AV19" s="221"/>
      <c r="AW19" s="221"/>
      <c r="AX19" s="221">
        <v>106.24612783735662</v>
      </c>
      <c r="AY19" s="222"/>
      <c r="AZ19" s="222"/>
      <c r="BA19" s="221">
        <v>582.60460840004487</v>
      </c>
      <c r="BB19" s="222"/>
      <c r="BC19" s="222"/>
      <c r="BD19" s="221">
        <v>285.84120879467343</v>
      </c>
      <c r="BE19" s="111"/>
      <c r="BF19" s="111"/>
      <c r="BG19" s="221">
        <v>473.80597670834629</v>
      </c>
      <c r="BH19" s="221"/>
      <c r="BI19" s="221"/>
      <c r="BJ19" s="221">
        <v>177.14457861780338</v>
      </c>
      <c r="BK19" s="221"/>
      <c r="BL19" s="221"/>
      <c r="BM19" s="221">
        <v>118.99490133071926</v>
      </c>
      <c r="BN19" s="221"/>
      <c r="BO19" s="221"/>
      <c r="BP19" s="221">
        <v>118.99490133071926</v>
      </c>
      <c r="BQ19" s="222"/>
      <c r="BR19" s="222"/>
      <c r="BS19" s="221">
        <v>592.80087803906554</v>
      </c>
      <c r="BT19" s="222"/>
      <c r="BU19" s="222"/>
      <c r="BV19" s="221">
        <v>296.13947994852265</v>
      </c>
      <c r="BW19" s="111"/>
      <c r="BX19" s="111"/>
      <c r="BY19" s="221">
        <v>473.51895246970474</v>
      </c>
      <c r="BZ19" s="221"/>
      <c r="CA19" s="221"/>
      <c r="CB19" s="221">
        <v>177.13216303902968</v>
      </c>
      <c r="CC19" s="221"/>
      <c r="CD19" s="221"/>
      <c r="CE19" s="221">
        <v>118.37726751325491</v>
      </c>
      <c r="CF19" s="221"/>
      <c r="CG19" s="221"/>
      <c r="CH19" s="221">
        <v>118.37726751325491</v>
      </c>
      <c r="CI19" s="222"/>
      <c r="CJ19" s="222"/>
      <c r="CK19" s="221">
        <v>591.89621998295968</v>
      </c>
      <c r="CL19" s="222"/>
      <c r="CM19" s="222"/>
      <c r="CN19" s="221">
        <v>295.50943055228458</v>
      </c>
      <c r="CO19" s="111"/>
      <c r="CP19" s="219"/>
      <c r="CQ19" s="111"/>
      <c r="CR19" s="221">
        <v>471.75200440278201</v>
      </c>
      <c r="CS19" s="221"/>
      <c r="CT19" s="221"/>
      <c r="CU19" s="221">
        <v>177.15562057443941</v>
      </c>
      <c r="CV19" s="221"/>
      <c r="CW19" s="221"/>
      <c r="CX19" s="221">
        <v>118.99286163064082</v>
      </c>
      <c r="CY19" s="221"/>
      <c r="CZ19" s="221"/>
      <c r="DA19" s="221">
        <v>118.99286163064082</v>
      </c>
      <c r="DB19" s="222"/>
      <c r="DC19" s="222"/>
      <c r="DD19" s="221">
        <v>590.7448660334228</v>
      </c>
      <c r="DE19" s="222"/>
      <c r="DF19" s="222"/>
      <c r="DG19" s="221">
        <v>296.1484822050802</v>
      </c>
      <c r="DH19" s="111"/>
      <c r="DI19" s="111"/>
      <c r="DJ19" s="221">
        <v>472.8997290193962</v>
      </c>
      <c r="DK19" s="221"/>
      <c r="DL19" s="221"/>
      <c r="DM19" s="221">
        <v>182.82960650929076</v>
      </c>
      <c r="DN19" s="221"/>
      <c r="DO19" s="221"/>
      <c r="DP19" s="221">
        <v>119.10711304725693</v>
      </c>
      <c r="DQ19" s="221"/>
      <c r="DR19" s="221"/>
      <c r="DS19" s="221">
        <v>119.10711304725693</v>
      </c>
      <c r="DT19" s="222"/>
      <c r="DU19" s="222"/>
      <c r="DV19" s="221">
        <v>592.00684206665312</v>
      </c>
      <c r="DW19" s="222"/>
      <c r="DX19" s="222"/>
      <c r="DY19" s="221">
        <v>301.9367195565477</v>
      </c>
      <c r="DZ19" s="111"/>
      <c r="EA19" s="111"/>
      <c r="EB19" s="221">
        <v>475.6821934523316</v>
      </c>
      <c r="EC19" s="221"/>
      <c r="ED19" s="221"/>
      <c r="EE19" s="221">
        <v>173.71213599729819</v>
      </c>
      <c r="EF19" s="221"/>
      <c r="EG19" s="221"/>
      <c r="EH19" s="221">
        <v>119.06102511869142</v>
      </c>
      <c r="EI19" s="221"/>
      <c r="EJ19" s="221"/>
      <c r="EK19" s="221">
        <v>119.06102511869142</v>
      </c>
      <c r="EL19" s="222"/>
      <c r="EM19" s="222"/>
      <c r="EN19" s="221">
        <v>594.7307654404749</v>
      </c>
      <c r="EO19" s="222"/>
      <c r="EP19" s="222"/>
      <c r="EQ19" s="221">
        <v>292.813834453987</v>
      </c>
      <c r="ER19" s="111"/>
      <c r="ES19" s="111"/>
      <c r="ET19" s="111"/>
      <c r="EU19" s="221">
        <v>477.40927486869987</v>
      </c>
      <c r="EV19" s="221"/>
      <c r="EW19" s="221"/>
      <c r="EX19" s="221">
        <v>175.08327945626542</v>
      </c>
      <c r="EY19" s="221"/>
      <c r="EZ19" s="221"/>
      <c r="FA19" s="221">
        <v>121.00085545644964</v>
      </c>
      <c r="FB19" s="221"/>
      <c r="FC19" s="221"/>
      <c r="FD19" s="221">
        <v>121.0008565895552</v>
      </c>
      <c r="FE19" s="222"/>
      <c r="FF19" s="222"/>
      <c r="FG19" s="221">
        <v>598.2712999885091</v>
      </c>
      <c r="FH19" s="222"/>
      <c r="FI19" s="222"/>
      <c r="FJ19" s="221">
        <v>295.34390952097272</v>
      </c>
      <c r="FK19" s="111"/>
      <c r="FM19" s="411"/>
      <c r="FN19" s="411"/>
    </row>
    <row r="20" spans="3:170" ht="12.75" customHeight="1">
      <c r="C20" s="27" t="s">
        <v>551</v>
      </c>
      <c r="D20" s="219"/>
      <c r="E20" s="221">
        <v>102.97984633237866</v>
      </c>
      <c r="F20" s="221"/>
      <c r="G20" s="221"/>
      <c r="H20" s="221">
        <v>93.478123497155678</v>
      </c>
      <c r="I20" s="221"/>
      <c r="J20" s="221"/>
      <c r="K20" s="221">
        <v>76.000658702069003</v>
      </c>
      <c r="L20" s="221"/>
      <c r="M20" s="221"/>
      <c r="N20" s="221">
        <v>76.000658702069003</v>
      </c>
      <c r="O20" s="222"/>
      <c r="P20" s="222"/>
      <c r="Q20" s="221">
        <v>178.98050503444767</v>
      </c>
      <c r="R20" s="222"/>
      <c r="S20" s="222"/>
      <c r="T20" s="221">
        <v>169.47878219922467</v>
      </c>
      <c r="U20" s="111"/>
      <c r="V20" s="111"/>
      <c r="W20" s="221">
        <v>99.699363468136767</v>
      </c>
      <c r="X20" s="221"/>
      <c r="Y20" s="221"/>
      <c r="Z20" s="221">
        <v>93.773160407675633</v>
      </c>
      <c r="AA20" s="221"/>
      <c r="AB20" s="221"/>
      <c r="AC20" s="221">
        <v>76.060384265889212</v>
      </c>
      <c r="AD20" s="221"/>
      <c r="AE20" s="221"/>
      <c r="AF20" s="221">
        <v>76.060384265889212</v>
      </c>
      <c r="AG20" s="222"/>
      <c r="AH20" s="222"/>
      <c r="AI20" s="221">
        <v>175.75974773402598</v>
      </c>
      <c r="AJ20" s="222"/>
      <c r="AK20" s="222"/>
      <c r="AL20" s="221">
        <v>169.83354467356486</v>
      </c>
      <c r="AM20" s="111"/>
      <c r="AN20" s="111"/>
      <c r="AO20" s="221">
        <v>100.2934090776929</v>
      </c>
      <c r="AP20" s="221"/>
      <c r="AQ20" s="221"/>
      <c r="AR20" s="221">
        <v>94.291981931961644</v>
      </c>
      <c r="AS20" s="221"/>
      <c r="AT20" s="221"/>
      <c r="AU20" s="221">
        <v>75.708150588841676</v>
      </c>
      <c r="AV20" s="221"/>
      <c r="AW20" s="221"/>
      <c r="AX20" s="221">
        <v>75.708150588841676</v>
      </c>
      <c r="AY20" s="222"/>
      <c r="AZ20" s="222"/>
      <c r="BA20" s="221">
        <v>176.00155966653458</v>
      </c>
      <c r="BB20" s="222"/>
      <c r="BC20" s="222"/>
      <c r="BD20" s="221">
        <v>170.00013252080333</v>
      </c>
      <c r="BE20" s="111"/>
      <c r="BF20" s="111"/>
      <c r="BG20" s="221">
        <v>99.756000122711114</v>
      </c>
      <c r="BH20" s="221"/>
      <c r="BI20" s="221"/>
      <c r="BJ20" s="221">
        <v>93.005405923921941</v>
      </c>
      <c r="BK20" s="221"/>
      <c r="BL20" s="221"/>
      <c r="BM20" s="221">
        <v>84.792585787610093</v>
      </c>
      <c r="BN20" s="221"/>
      <c r="BO20" s="221"/>
      <c r="BP20" s="221">
        <v>84.792585787610093</v>
      </c>
      <c r="BQ20" s="222"/>
      <c r="BR20" s="222"/>
      <c r="BS20" s="221">
        <v>184.54858591032121</v>
      </c>
      <c r="BT20" s="222"/>
      <c r="BU20" s="222"/>
      <c r="BV20" s="221">
        <v>177.79799171153203</v>
      </c>
      <c r="BW20" s="111"/>
      <c r="BX20" s="111"/>
      <c r="BY20" s="221">
        <v>99.694937830896635</v>
      </c>
      <c r="BZ20" s="221"/>
      <c r="CA20" s="221"/>
      <c r="CB20" s="221">
        <v>92.997836962596352</v>
      </c>
      <c r="CC20" s="221"/>
      <c r="CD20" s="221"/>
      <c r="CE20" s="221">
        <v>84.341557217826477</v>
      </c>
      <c r="CF20" s="221"/>
      <c r="CG20" s="221"/>
      <c r="CH20" s="221">
        <v>84.341557217826477</v>
      </c>
      <c r="CI20" s="222"/>
      <c r="CJ20" s="222"/>
      <c r="CK20" s="221">
        <v>184.03649504872311</v>
      </c>
      <c r="CL20" s="222"/>
      <c r="CM20" s="222"/>
      <c r="CN20" s="221">
        <v>177.33939418042283</v>
      </c>
      <c r="CO20" s="111"/>
      <c r="CP20" s="219"/>
      <c r="CQ20" s="111"/>
      <c r="CR20" s="221">
        <v>99.71595912534616</v>
      </c>
      <c r="CS20" s="221"/>
      <c r="CT20" s="221"/>
      <c r="CU20" s="221">
        <v>93.008151568260345</v>
      </c>
      <c r="CV20" s="221"/>
      <c r="CW20" s="221"/>
      <c r="CX20" s="221">
        <v>84.780156347246717</v>
      </c>
      <c r="CY20" s="221"/>
      <c r="CZ20" s="221"/>
      <c r="DA20" s="221">
        <v>84.780156347246717</v>
      </c>
      <c r="DB20" s="222"/>
      <c r="DC20" s="222"/>
      <c r="DD20" s="221">
        <v>184.49611547259286</v>
      </c>
      <c r="DE20" s="222"/>
      <c r="DF20" s="222"/>
      <c r="DG20" s="221">
        <v>177.78830791550706</v>
      </c>
      <c r="DH20" s="111"/>
      <c r="DI20" s="111"/>
      <c r="DJ20" s="221">
        <v>99.344311091912957</v>
      </c>
      <c r="DK20" s="221"/>
      <c r="DL20" s="221"/>
      <c r="DM20" s="221">
        <v>92.709822614414932</v>
      </c>
      <c r="DN20" s="221"/>
      <c r="DO20" s="221"/>
      <c r="DP20" s="221">
        <v>84.861558313977085</v>
      </c>
      <c r="DQ20" s="221"/>
      <c r="DR20" s="221"/>
      <c r="DS20" s="221">
        <v>84.861558313977085</v>
      </c>
      <c r="DT20" s="222"/>
      <c r="DU20" s="222"/>
      <c r="DV20" s="221">
        <v>184.20586940589004</v>
      </c>
      <c r="DW20" s="222"/>
      <c r="DX20" s="222"/>
      <c r="DY20" s="221">
        <v>177.57138092839202</v>
      </c>
      <c r="DZ20" s="111"/>
      <c r="EA20" s="111"/>
      <c r="EB20" s="221">
        <v>99.712121687119733</v>
      </c>
      <c r="EC20" s="221"/>
      <c r="ED20" s="221"/>
      <c r="EE20" s="221">
        <v>92.895251345310953</v>
      </c>
      <c r="EF20" s="221"/>
      <c r="EG20" s="221"/>
      <c r="EH20" s="221">
        <v>84.78408947665811</v>
      </c>
      <c r="EI20" s="221"/>
      <c r="EJ20" s="221"/>
      <c r="EK20" s="221">
        <v>84.78408947665811</v>
      </c>
      <c r="EL20" s="222"/>
      <c r="EM20" s="222"/>
      <c r="EN20" s="221">
        <v>184.40675476515267</v>
      </c>
      <c r="EO20" s="222"/>
      <c r="EP20" s="222"/>
      <c r="EQ20" s="221">
        <v>177.71522354357336</v>
      </c>
      <c r="ER20" s="111"/>
      <c r="ES20" s="111"/>
      <c r="ET20" s="111"/>
      <c r="EU20" s="221">
        <v>99.412636915173891</v>
      </c>
      <c r="EV20" s="221"/>
      <c r="EW20" s="221"/>
      <c r="EX20" s="221">
        <v>92.816146859975788</v>
      </c>
      <c r="EY20" s="221"/>
      <c r="EZ20" s="221"/>
      <c r="FA20" s="221">
        <v>86.199906312348801</v>
      </c>
      <c r="FB20" s="221"/>
      <c r="FC20" s="221"/>
      <c r="FD20" s="221">
        <v>86.199907119562866</v>
      </c>
      <c r="FE20" s="222"/>
      <c r="FF20" s="222"/>
      <c r="FG20" s="221">
        <v>184.7376553805465</v>
      </c>
      <c r="FH20" s="222"/>
      <c r="FI20" s="222"/>
      <c r="FJ20" s="221">
        <v>178.36113492522199</v>
      </c>
      <c r="FK20" s="111"/>
      <c r="FM20" s="411"/>
      <c r="FN20" s="411"/>
    </row>
    <row r="21" spans="3:170" ht="12.75" customHeight="1">
      <c r="C21" s="27" t="s">
        <v>552</v>
      </c>
      <c r="D21" s="219"/>
      <c r="E21" s="221">
        <v>365.51881053558162</v>
      </c>
      <c r="F21" s="221"/>
      <c r="G21" s="221"/>
      <c r="H21" s="221">
        <v>82.641173196181654</v>
      </c>
      <c r="I21" s="221"/>
      <c r="J21" s="221"/>
      <c r="K21" s="223" t="s">
        <v>553</v>
      </c>
      <c r="L21" s="221"/>
      <c r="M21" s="221"/>
      <c r="N21" s="223" t="s">
        <v>553</v>
      </c>
      <c r="O21" s="222"/>
      <c r="P21" s="222"/>
      <c r="Q21" s="221">
        <v>365.51881053558162</v>
      </c>
      <c r="R21" s="222"/>
      <c r="S21" s="222"/>
      <c r="T21" s="221">
        <v>82.641173196181654</v>
      </c>
      <c r="U21" s="111"/>
      <c r="V21" s="111"/>
      <c r="W21" s="221">
        <v>356.17159549064093</v>
      </c>
      <c r="X21" s="221"/>
      <c r="Y21" s="221"/>
      <c r="Z21" s="221">
        <v>82.902006378421206</v>
      </c>
      <c r="AA21" s="221"/>
      <c r="AB21" s="221"/>
      <c r="AC21" s="223" t="s">
        <v>553</v>
      </c>
      <c r="AD21" s="221"/>
      <c r="AE21" s="221"/>
      <c r="AF21" s="223" t="s">
        <v>553</v>
      </c>
      <c r="AG21" s="222"/>
      <c r="AH21" s="222"/>
      <c r="AI21" s="223">
        <v>356.17159549064093</v>
      </c>
      <c r="AJ21" s="221"/>
      <c r="AK21" s="221"/>
      <c r="AL21" s="223">
        <v>82.902006378421206</v>
      </c>
      <c r="AM21" s="111"/>
      <c r="AN21" s="111"/>
      <c r="AO21" s="221">
        <v>358.29279125710991</v>
      </c>
      <c r="AP21" s="221"/>
      <c r="AQ21" s="221"/>
      <c r="AR21" s="221">
        <v>83.359666431238963</v>
      </c>
      <c r="AS21" s="221"/>
      <c r="AT21" s="221"/>
      <c r="AU21" s="223" t="s">
        <v>553</v>
      </c>
      <c r="AV21" s="221"/>
      <c r="AW21" s="221"/>
      <c r="AX21" s="223" t="s">
        <v>553</v>
      </c>
      <c r="AY21" s="222"/>
      <c r="AZ21" s="222"/>
      <c r="BA21" s="223">
        <v>358.29279125710991</v>
      </c>
      <c r="BB21" s="221"/>
      <c r="BC21" s="221"/>
      <c r="BD21" s="223">
        <v>83.359666431238963</v>
      </c>
      <c r="BE21" s="111"/>
      <c r="BF21" s="111"/>
      <c r="BG21" s="221">
        <v>356.3849349540825</v>
      </c>
      <c r="BH21" s="221"/>
      <c r="BI21" s="221"/>
      <c r="BJ21" s="221">
        <v>82.222257452541143</v>
      </c>
      <c r="BK21" s="221"/>
      <c r="BL21" s="221"/>
      <c r="BM21" s="223" t="s">
        <v>553</v>
      </c>
      <c r="BN21" s="221"/>
      <c r="BO21" s="221"/>
      <c r="BP21" s="223" t="s">
        <v>553</v>
      </c>
      <c r="BQ21" s="222"/>
      <c r="BR21" s="222"/>
      <c r="BS21" s="223">
        <v>356.3849349540825</v>
      </c>
      <c r="BT21" s="221"/>
      <c r="BU21" s="221"/>
      <c r="BV21" s="223">
        <v>82.222257452541143</v>
      </c>
      <c r="BW21" s="111"/>
      <c r="BX21" s="111"/>
      <c r="BY21" s="221">
        <v>355.61374737531804</v>
      </c>
      <c r="BZ21" s="221"/>
      <c r="CA21" s="221"/>
      <c r="CB21" s="221">
        <v>82.215566044868893</v>
      </c>
      <c r="CC21" s="221"/>
      <c r="CD21" s="221"/>
      <c r="CE21" s="223" t="s">
        <v>553</v>
      </c>
      <c r="CF21" s="221"/>
      <c r="CG21" s="221"/>
      <c r="CH21" s="223" t="s">
        <v>553</v>
      </c>
      <c r="CI21" s="222"/>
      <c r="CJ21" s="222"/>
      <c r="CK21" s="223">
        <v>355.61374737531804</v>
      </c>
      <c r="CL21" s="221"/>
      <c r="CM21" s="221"/>
      <c r="CN21" s="223">
        <v>82.215566044868893</v>
      </c>
      <c r="CO21" s="111"/>
      <c r="CP21" s="219"/>
      <c r="CQ21" s="111"/>
      <c r="CR21" s="221">
        <v>355.69229878943804</v>
      </c>
      <c r="CS21" s="221"/>
      <c r="CT21" s="221"/>
      <c r="CU21" s="221">
        <v>82.22645381656794</v>
      </c>
      <c r="CV21" s="221"/>
      <c r="CW21" s="221"/>
      <c r="CX21" s="223" t="s">
        <v>553</v>
      </c>
      <c r="CY21" s="221"/>
      <c r="CZ21" s="221"/>
      <c r="DA21" s="223" t="s">
        <v>553</v>
      </c>
      <c r="DB21" s="222"/>
      <c r="DC21" s="222"/>
      <c r="DD21" s="223">
        <v>355.69229878943804</v>
      </c>
      <c r="DE21" s="221"/>
      <c r="DF21" s="221"/>
      <c r="DG21" s="223">
        <v>82.22645381656794</v>
      </c>
      <c r="DH21" s="111"/>
      <c r="DI21" s="111"/>
      <c r="DJ21" s="221">
        <v>367.55810569869584</v>
      </c>
      <c r="DK21" s="221"/>
      <c r="DL21" s="221"/>
      <c r="DM21" s="221">
        <v>82.076402195575525</v>
      </c>
      <c r="DN21" s="221"/>
      <c r="DO21" s="221"/>
      <c r="DP21" s="223" t="s">
        <v>553</v>
      </c>
      <c r="DQ21" s="221"/>
      <c r="DR21" s="221"/>
      <c r="DS21" s="223" t="s">
        <v>553</v>
      </c>
      <c r="DT21" s="222"/>
      <c r="DU21" s="222"/>
      <c r="DV21" s="223">
        <v>367.55810569869584</v>
      </c>
      <c r="DW21" s="221"/>
      <c r="DX21" s="221"/>
      <c r="DY21" s="223">
        <v>82.076402195575525</v>
      </c>
      <c r="DZ21" s="111"/>
      <c r="EA21" s="111"/>
      <c r="EB21" s="221">
        <v>356.82749774688119</v>
      </c>
      <c r="EC21" s="221"/>
      <c r="ED21" s="221"/>
      <c r="EE21" s="221">
        <v>81.659863040733413</v>
      </c>
      <c r="EF21" s="221"/>
      <c r="EG21" s="221"/>
      <c r="EH21" s="223" t="s">
        <v>553</v>
      </c>
      <c r="EI21" s="221"/>
      <c r="EJ21" s="221"/>
      <c r="EK21" s="223" t="s">
        <v>553</v>
      </c>
      <c r="EL21" s="222"/>
      <c r="EM21" s="222"/>
      <c r="EN21" s="223">
        <v>356.94780433633389</v>
      </c>
      <c r="EO21" s="221"/>
      <c r="EP21" s="221"/>
      <c r="EQ21" s="223">
        <v>81.641522480452537</v>
      </c>
      <c r="ER21" s="111"/>
      <c r="ES21" s="111"/>
      <c r="ET21" s="111"/>
      <c r="EU21" s="221">
        <v>366.83089699844618</v>
      </c>
      <c r="EV21" s="221"/>
      <c r="EW21" s="221"/>
      <c r="EX21" s="221">
        <v>82.144497015164006</v>
      </c>
      <c r="EY21" s="221"/>
      <c r="EZ21" s="221"/>
      <c r="FA21" s="223">
        <v>0</v>
      </c>
      <c r="FB21" s="221"/>
      <c r="FC21" s="221"/>
      <c r="FD21" s="223">
        <v>0</v>
      </c>
      <c r="FE21" s="222"/>
      <c r="FF21" s="222"/>
      <c r="FG21" s="223">
        <v>368.01356564095255</v>
      </c>
      <c r="FH21" s="221"/>
      <c r="FI21" s="221"/>
      <c r="FJ21" s="223">
        <v>82.472925923397952</v>
      </c>
      <c r="FK21" s="111"/>
      <c r="FM21" s="411"/>
      <c r="FN21" s="411"/>
    </row>
    <row r="22" spans="3:170" ht="12.75" customHeight="1">
      <c r="C22" s="27" t="s">
        <v>554</v>
      </c>
      <c r="D22" s="224"/>
      <c r="E22" s="223" t="s">
        <v>553</v>
      </c>
      <c r="F22" s="221"/>
      <c r="G22" s="221"/>
      <c r="H22" s="223" t="s">
        <v>553</v>
      </c>
      <c r="I22" s="221"/>
      <c r="J22" s="221"/>
      <c r="K22" s="223" t="s">
        <v>553</v>
      </c>
      <c r="L22" s="221"/>
      <c r="M22" s="221"/>
      <c r="N22" s="223" t="s">
        <v>553</v>
      </c>
      <c r="O22" s="222"/>
      <c r="P22" s="222"/>
      <c r="Q22" s="223" t="s">
        <v>555</v>
      </c>
      <c r="R22" s="222"/>
      <c r="S22" s="222"/>
      <c r="T22" s="223" t="s">
        <v>553</v>
      </c>
      <c r="U22" s="111"/>
      <c r="V22" s="111"/>
      <c r="W22" s="223" t="s">
        <v>553</v>
      </c>
      <c r="X22" s="221"/>
      <c r="Y22" s="221"/>
      <c r="Z22" s="223" t="s">
        <v>553</v>
      </c>
      <c r="AA22" s="221"/>
      <c r="AB22" s="221"/>
      <c r="AC22" s="223" t="s">
        <v>553</v>
      </c>
      <c r="AD22" s="221"/>
      <c r="AE22" s="221"/>
      <c r="AF22" s="223" t="s">
        <v>553</v>
      </c>
      <c r="AG22" s="222"/>
      <c r="AH22" s="222"/>
      <c r="AI22" s="223" t="s">
        <v>77</v>
      </c>
      <c r="AJ22" s="221"/>
      <c r="AK22" s="221"/>
      <c r="AL22" s="223" t="s">
        <v>553</v>
      </c>
      <c r="AM22" s="111"/>
      <c r="AN22" s="111"/>
      <c r="AO22" s="223" t="s">
        <v>553</v>
      </c>
      <c r="AP22" s="221"/>
      <c r="AQ22" s="221"/>
      <c r="AR22" s="223" t="s">
        <v>553</v>
      </c>
      <c r="AS22" s="221"/>
      <c r="AT22" s="221"/>
      <c r="AU22" s="223" t="s">
        <v>553</v>
      </c>
      <c r="AV22" s="221"/>
      <c r="AW22" s="221"/>
      <c r="AX22" s="223" t="s">
        <v>553</v>
      </c>
      <c r="AY22" s="222"/>
      <c r="AZ22" s="222"/>
      <c r="BA22" s="223" t="s">
        <v>553</v>
      </c>
      <c r="BB22" s="221"/>
      <c r="BC22" s="221"/>
      <c r="BD22" s="223" t="s">
        <v>553</v>
      </c>
      <c r="BE22" s="111"/>
      <c r="BF22" s="111"/>
      <c r="BG22" s="223" t="s">
        <v>553</v>
      </c>
      <c r="BH22" s="221"/>
      <c r="BI22" s="221"/>
      <c r="BJ22" s="223" t="s">
        <v>553</v>
      </c>
      <c r="BK22" s="221"/>
      <c r="BL22" s="221"/>
      <c r="BM22" s="223" t="s">
        <v>553</v>
      </c>
      <c r="BN22" s="221"/>
      <c r="BO22" s="221"/>
      <c r="BP22" s="223" t="s">
        <v>553</v>
      </c>
      <c r="BQ22" s="222"/>
      <c r="BR22" s="222"/>
      <c r="BS22" s="223" t="s">
        <v>553</v>
      </c>
      <c r="BT22" s="221"/>
      <c r="BU22" s="221"/>
      <c r="BV22" s="223" t="s">
        <v>553</v>
      </c>
      <c r="BW22" s="111"/>
      <c r="BX22" s="111"/>
      <c r="BY22" s="223" t="s">
        <v>553</v>
      </c>
      <c r="BZ22" s="221"/>
      <c r="CA22" s="221"/>
      <c r="CB22" s="223" t="s">
        <v>553</v>
      </c>
      <c r="CC22" s="221"/>
      <c r="CD22" s="221"/>
      <c r="CE22" s="223" t="s">
        <v>553</v>
      </c>
      <c r="CF22" s="221"/>
      <c r="CG22" s="221"/>
      <c r="CH22" s="223" t="s">
        <v>553</v>
      </c>
      <c r="CI22" s="222"/>
      <c r="CJ22" s="222"/>
      <c r="CK22" s="223" t="s">
        <v>553</v>
      </c>
      <c r="CL22" s="221"/>
      <c r="CM22" s="221"/>
      <c r="CN22" s="223" t="s">
        <v>553</v>
      </c>
      <c r="CO22" s="111"/>
      <c r="CP22" s="224"/>
      <c r="CQ22" s="111"/>
      <c r="CR22" s="223" t="s">
        <v>553</v>
      </c>
      <c r="CS22" s="221"/>
      <c r="CT22" s="221"/>
      <c r="CU22" s="223" t="s">
        <v>553</v>
      </c>
      <c r="CV22" s="221"/>
      <c r="CW22" s="221"/>
      <c r="CX22" s="223" t="s">
        <v>553</v>
      </c>
      <c r="CY22" s="221"/>
      <c r="CZ22" s="221"/>
      <c r="DA22" s="223" t="s">
        <v>553</v>
      </c>
      <c r="DB22" s="222"/>
      <c r="DC22" s="222"/>
      <c r="DD22" s="223" t="s">
        <v>553</v>
      </c>
      <c r="DE22" s="221"/>
      <c r="DF22" s="221"/>
      <c r="DG22" s="223" t="s">
        <v>553</v>
      </c>
      <c r="DH22" s="111"/>
      <c r="DI22" s="111"/>
      <c r="DJ22" s="223" t="s">
        <v>553</v>
      </c>
      <c r="DK22" s="221"/>
      <c r="DL22" s="221"/>
      <c r="DM22" s="223" t="s">
        <v>553</v>
      </c>
      <c r="DN22" s="221"/>
      <c r="DO22" s="221"/>
      <c r="DP22" s="223" t="s">
        <v>553</v>
      </c>
      <c r="DQ22" s="221"/>
      <c r="DR22" s="221"/>
      <c r="DS22" s="223" t="s">
        <v>553</v>
      </c>
      <c r="DT22" s="222"/>
      <c r="DU22" s="222"/>
      <c r="DV22" s="223" t="s">
        <v>553</v>
      </c>
      <c r="DW22" s="221"/>
      <c r="DX22" s="221"/>
      <c r="DY22" s="223" t="s">
        <v>553</v>
      </c>
      <c r="DZ22" s="111"/>
      <c r="EA22" s="111"/>
      <c r="EB22" s="223" t="s">
        <v>553</v>
      </c>
      <c r="EC22" s="221"/>
      <c r="ED22" s="221"/>
      <c r="EE22" s="223" t="s">
        <v>553</v>
      </c>
      <c r="EF22" s="221"/>
      <c r="EG22" s="221"/>
      <c r="EH22" s="223" t="s">
        <v>553</v>
      </c>
      <c r="EI22" s="221"/>
      <c r="EJ22" s="221"/>
      <c r="EK22" s="223" t="s">
        <v>553</v>
      </c>
      <c r="EL22" s="222"/>
      <c r="EM22" s="222"/>
      <c r="EN22" s="223" t="s">
        <v>553</v>
      </c>
      <c r="EO22" s="221"/>
      <c r="EP22" s="221"/>
      <c r="EQ22" s="223" t="s">
        <v>553</v>
      </c>
      <c r="ER22" s="111"/>
      <c r="ES22" s="111"/>
      <c r="ET22" s="111"/>
      <c r="EU22" s="223" t="s">
        <v>553</v>
      </c>
      <c r="EV22" s="221"/>
      <c r="EW22" s="221"/>
      <c r="EX22" s="223">
        <v>0</v>
      </c>
      <c r="EY22" s="221"/>
      <c r="EZ22" s="221"/>
      <c r="FA22" s="223">
        <v>0</v>
      </c>
      <c r="FB22" s="221"/>
      <c r="FC22" s="221"/>
      <c r="FD22" s="223">
        <v>0</v>
      </c>
      <c r="FE22" s="222"/>
      <c r="FF22" s="222"/>
      <c r="FG22" s="223">
        <v>0</v>
      </c>
      <c r="FH22" s="221"/>
      <c r="FI22" s="221"/>
      <c r="FJ22" s="223">
        <v>0</v>
      </c>
      <c r="FK22" s="111"/>
      <c r="FM22" s="411"/>
      <c r="FN22" s="411"/>
    </row>
    <row r="23" spans="3:170" ht="12.75" customHeight="1">
      <c r="C23" s="27" t="s">
        <v>556</v>
      </c>
      <c r="D23" s="219"/>
      <c r="E23" s="221">
        <v>154.63773811085395</v>
      </c>
      <c r="F23" s="221"/>
      <c r="G23" s="221"/>
      <c r="H23" s="221">
        <v>140.09601492827343</v>
      </c>
      <c r="I23" s="221"/>
      <c r="J23" s="221"/>
      <c r="K23" s="223" t="s">
        <v>553</v>
      </c>
      <c r="L23" s="221"/>
      <c r="M23" s="221"/>
      <c r="N23" s="223" t="s">
        <v>553</v>
      </c>
      <c r="O23" s="222"/>
      <c r="P23" s="222"/>
      <c r="Q23" s="221">
        <v>154.63773811085395</v>
      </c>
      <c r="R23" s="222"/>
      <c r="S23" s="222"/>
      <c r="T23" s="221">
        <v>140.09601492827343</v>
      </c>
      <c r="U23" s="111"/>
      <c r="V23" s="111"/>
      <c r="W23" s="221">
        <v>153.76352555746087</v>
      </c>
      <c r="X23" s="221"/>
      <c r="Y23" s="221"/>
      <c r="Z23" s="221">
        <v>140.53818785466783</v>
      </c>
      <c r="AA23" s="221"/>
      <c r="AB23" s="221"/>
      <c r="AC23" s="223" t="s">
        <v>553</v>
      </c>
      <c r="AD23" s="221"/>
      <c r="AE23" s="221"/>
      <c r="AF23" s="223" t="s">
        <v>553</v>
      </c>
      <c r="AG23" s="222"/>
      <c r="AH23" s="222"/>
      <c r="AI23" s="223">
        <v>153.76352555746087</v>
      </c>
      <c r="AJ23" s="221"/>
      <c r="AK23" s="221"/>
      <c r="AL23" s="223">
        <v>140.53818785466783</v>
      </c>
      <c r="AM23" s="111"/>
      <c r="AN23" s="111"/>
      <c r="AO23" s="221">
        <v>154.67970540144222</v>
      </c>
      <c r="AP23" s="221"/>
      <c r="AQ23" s="221"/>
      <c r="AR23" s="221">
        <v>141.31574762258182</v>
      </c>
      <c r="AS23" s="221"/>
      <c r="AT23" s="221"/>
      <c r="AU23" s="223" t="s">
        <v>553</v>
      </c>
      <c r="AV23" s="221"/>
      <c r="AW23" s="221"/>
      <c r="AX23" s="223" t="s">
        <v>553</v>
      </c>
      <c r="AY23" s="222"/>
      <c r="AZ23" s="222"/>
      <c r="BA23" s="223">
        <v>154.67970540144222</v>
      </c>
      <c r="BB23" s="221"/>
      <c r="BC23" s="221"/>
      <c r="BD23" s="223">
        <v>141.31574762258182</v>
      </c>
      <c r="BE23" s="111"/>
      <c r="BF23" s="111"/>
      <c r="BG23" s="221">
        <v>153.85087467765774</v>
      </c>
      <c r="BH23" s="221"/>
      <c r="BI23" s="221"/>
      <c r="BJ23" s="221">
        <v>139.38755132503661</v>
      </c>
      <c r="BK23" s="221"/>
      <c r="BL23" s="221"/>
      <c r="BM23" s="223" t="s">
        <v>553</v>
      </c>
      <c r="BN23" s="221"/>
      <c r="BO23" s="221"/>
      <c r="BP23" s="223" t="s">
        <v>553</v>
      </c>
      <c r="BQ23" s="222"/>
      <c r="BR23" s="222"/>
      <c r="BS23" s="223">
        <v>153.85087467765774</v>
      </c>
      <c r="BT23" s="221"/>
      <c r="BU23" s="221"/>
      <c r="BV23" s="223">
        <v>139.38755132503661</v>
      </c>
      <c r="BW23" s="111"/>
      <c r="BX23" s="111"/>
      <c r="BY23" s="221">
        <v>153.75670002155763</v>
      </c>
      <c r="BZ23" s="221"/>
      <c r="CA23" s="221"/>
      <c r="CB23" s="221">
        <v>139.37620769425766</v>
      </c>
      <c r="CC23" s="221"/>
      <c r="CD23" s="221"/>
      <c r="CE23" s="223" t="s">
        <v>553</v>
      </c>
      <c r="CF23" s="221"/>
      <c r="CG23" s="221"/>
      <c r="CH23" s="223" t="s">
        <v>553</v>
      </c>
      <c r="CI23" s="222"/>
      <c r="CJ23" s="222"/>
      <c r="CK23" s="223">
        <v>153.75670002155763</v>
      </c>
      <c r="CL23" s="221"/>
      <c r="CM23" s="221"/>
      <c r="CN23" s="223">
        <v>139.37620769425766</v>
      </c>
      <c r="CO23" s="111"/>
      <c r="CP23" s="219"/>
      <c r="CQ23" s="111"/>
      <c r="CR23" s="221">
        <v>153.79066329296168</v>
      </c>
      <c r="CS23" s="221"/>
      <c r="CT23" s="221"/>
      <c r="CU23" s="221">
        <v>139.39466522490127</v>
      </c>
      <c r="CV23" s="221"/>
      <c r="CW23" s="221"/>
      <c r="CX23" s="223" t="s">
        <v>553</v>
      </c>
      <c r="CY23" s="221"/>
      <c r="CZ23" s="221"/>
      <c r="DA23" s="223" t="s">
        <v>553</v>
      </c>
      <c r="DB23" s="222"/>
      <c r="DC23" s="222"/>
      <c r="DD23" s="223">
        <v>153.79066329296168</v>
      </c>
      <c r="DE23" s="221"/>
      <c r="DF23" s="221"/>
      <c r="DG23" s="223">
        <v>139.39466522490127</v>
      </c>
      <c r="DH23" s="111"/>
      <c r="DI23" s="111"/>
      <c r="DJ23" s="221">
        <v>153.21747522883879</v>
      </c>
      <c r="DK23" s="221"/>
      <c r="DL23" s="221"/>
      <c r="DM23" s="221">
        <v>138.947548881366</v>
      </c>
      <c r="DN23" s="221"/>
      <c r="DO23" s="221"/>
      <c r="DP23" s="223" t="s">
        <v>553</v>
      </c>
      <c r="DQ23" s="221"/>
      <c r="DR23" s="221"/>
      <c r="DS23" s="223" t="s">
        <v>553</v>
      </c>
      <c r="DT23" s="222"/>
      <c r="DU23" s="222"/>
      <c r="DV23" s="223">
        <v>153.21747522883879</v>
      </c>
      <c r="DW23" s="221"/>
      <c r="DX23" s="221"/>
      <c r="DY23" s="223">
        <v>138.947548881366</v>
      </c>
      <c r="DZ23" s="111"/>
      <c r="EA23" s="111"/>
      <c r="EB23" s="221">
        <v>151.72576467749627</v>
      </c>
      <c r="EC23" s="221"/>
      <c r="ED23" s="221"/>
      <c r="EE23" s="221">
        <v>138.8853572512335</v>
      </c>
      <c r="EF23" s="221"/>
      <c r="EG23" s="221"/>
      <c r="EH23" s="223" t="s">
        <v>553</v>
      </c>
      <c r="EI23" s="221"/>
      <c r="EJ23" s="221"/>
      <c r="EK23" s="223" t="s">
        <v>553</v>
      </c>
      <c r="EL23" s="222"/>
      <c r="EM23" s="222"/>
      <c r="EN23" s="223">
        <v>151.77691995391334</v>
      </c>
      <c r="EO23" s="221"/>
      <c r="EP23" s="221"/>
      <c r="EQ23" s="223">
        <v>138.85416401661436</v>
      </c>
      <c r="ER23" s="111"/>
      <c r="ES23" s="111"/>
      <c r="ET23" s="111"/>
      <c r="EU23" s="221">
        <v>153.33509845931729</v>
      </c>
      <c r="EV23" s="221"/>
      <c r="EW23" s="221"/>
      <c r="EX23" s="221">
        <v>139.12554641681581</v>
      </c>
      <c r="EY23" s="221"/>
      <c r="EZ23" s="221"/>
      <c r="FA23" s="223">
        <v>0</v>
      </c>
      <c r="FB23" s="221"/>
      <c r="FC23" s="221"/>
      <c r="FD23" s="223">
        <v>0</v>
      </c>
      <c r="FE23" s="222"/>
      <c r="FF23" s="222"/>
      <c r="FG23" s="223">
        <v>153.82945325393015</v>
      </c>
      <c r="FH23" s="221"/>
      <c r="FI23" s="221"/>
      <c r="FJ23" s="223">
        <v>139.68179611067768</v>
      </c>
      <c r="FK23" s="111"/>
      <c r="FM23" s="411"/>
      <c r="FN23" s="411"/>
    </row>
    <row r="24" spans="3:170" ht="12.75" customHeight="1">
      <c r="C24" s="27" t="s">
        <v>557</v>
      </c>
      <c r="D24" s="219"/>
      <c r="E24" s="221">
        <v>528.37695264771048</v>
      </c>
      <c r="F24" s="221"/>
      <c r="G24" s="221"/>
      <c r="H24" s="221">
        <v>485.4837089551508</v>
      </c>
      <c r="I24" s="221"/>
      <c r="J24" s="221"/>
      <c r="K24" s="221">
        <v>399.20167352757255</v>
      </c>
      <c r="L24" s="221"/>
      <c r="M24" s="221"/>
      <c r="N24" s="221">
        <v>399.20167352757255</v>
      </c>
      <c r="O24" s="222"/>
      <c r="P24" s="222"/>
      <c r="Q24" s="221">
        <v>927.57862617528303</v>
      </c>
      <c r="R24" s="222"/>
      <c r="S24" s="222"/>
      <c r="T24" s="221">
        <v>884.6853824827233</v>
      </c>
      <c r="U24" s="111"/>
      <c r="V24" s="111"/>
      <c r="W24" s="221">
        <v>524.76181095476181</v>
      </c>
      <c r="X24" s="221"/>
      <c r="Y24" s="221"/>
      <c r="Z24" s="221">
        <v>487.00591180065726</v>
      </c>
      <c r="AA24" s="221"/>
      <c r="AB24" s="221"/>
      <c r="AC24" s="221">
        <v>399.10544392171255</v>
      </c>
      <c r="AD24" s="221"/>
      <c r="AE24" s="221"/>
      <c r="AF24" s="221">
        <v>399.10544392171255</v>
      </c>
      <c r="AG24" s="222"/>
      <c r="AH24" s="222"/>
      <c r="AI24" s="221">
        <v>923.86725487647436</v>
      </c>
      <c r="AJ24" s="222"/>
      <c r="AK24" s="222"/>
      <c r="AL24" s="221">
        <v>886.11135572236981</v>
      </c>
      <c r="AM24" s="111"/>
      <c r="AN24" s="111"/>
      <c r="AO24" s="221">
        <v>510.95833843515976</v>
      </c>
      <c r="AP24" s="221"/>
      <c r="AQ24" s="221"/>
      <c r="AR24" s="221">
        <v>473.29582458431258</v>
      </c>
      <c r="AS24" s="221"/>
      <c r="AT24" s="221"/>
      <c r="AU24" s="221">
        <v>419.45049691740599</v>
      </c>
      <c r="AV24" s="221"/>
      <c r="AW24" s="221"/>
      <c r="AX24" s="221">
        <v>419.45049691740599</v>
      </c>
      <c r="AY24" s="222"/>
      <c r="AZ24" s="222"/>
      <c r="BA24" s="221">
        <v>930.4088353525658</v>
      </c>
      <c r="BB24" s="222"/>
      <c r="BC24" s="222"/>
      <c r="BD24" s="221">
        <v>892.74632150171851</v>
      </c>
      <c r="BE24" s="111"/>
      <c r="BF24" s="111"/>
      <c r="BG24" s="221">
        <v>508.2244385515034</v>
      </c>
      <c r="BH24" s="221"/>
      <c r="BI24" s="221"/>
      <c r="BJ24" s="221">
        <v>466.84189613724612</v>
      </c>
      <c r="BK24" s="221"/>
      <c r="BL24" s="221"/>
      <c r="BM24" s="221">
        <v>237.77526798485925</v>
      </c>
      <c r="BN24" s="221"/>
      <c r="BO24" s="221"/>
      <c r="BP24" s="221">
        <v>237.77526798485925</v>
      </c>
      <c r="BQ24" s="222"/>
      <c r="BR24" s="222"/>
      <c r="BS24" s="221">
        <v>745.99970653636262</v>
      </c>
      <c r="BT24" s="222"/>
      <c r="BU24" s="222"/>
      <c r="BV24" s="221">
        <v>704.61716412210535</v>
      </c>
      <c r="BW24" s="111"/>
      <c r="BX24" s="111"/>
      <c r="BY24" s="221">
        <v>506.04521599201519</v>
      </c>
      <c r="BZ24" s="221"/>
      <c r="CA24" s="221"/>
      <c r="CB24" s="221">
        <v>467.32911167107829</v>
      </c>
      <c r="CC24" s="221"/>
      <c r="CD24" s="221"/>
      <c r="CE24" s="221">
        <v>247.14169281087328</v>
      </c>
      <c r="CF24" s="221"/>
      <c r="CG24" s="221"/>
      <c r="CH24" s="221">
        <v>247.14169281087328</v>
      </c>
      <c r="CI24" s="222"/>
      <c r="CJ24" s="222"/>
      <c r="CK24" s="221">
        <v>753.18690880288841</v>
      </c>
      <c r="CL24" s="222"/>
      <c r="CM24" s="222"/>
      <c r="CN24" s="221">
        <v>714.47080448195152</v>
      </c>
      <c r="CO24" s="111"/>
      <c r="CP24" s="219"/>
      <c r="CQ24" s="111"/>
      <c r="CR24" s="221">
        <v>503.12311508009304</v>
      </c>
      <c r="CS24" s="221"/>
      <c r="CT24" s="221"/>
      <c r="CU24" s="221">
        <v>464.35539565125816</v>
      </c>
      <c r="CV24" s="221"/>
      <c r="CW24" s="221"/>
      <c r="CX24" s="221">
        <v>240.09012269088944</v>
      </c>
      <c r="CY24" s="221"/>
      <c r="CZ24" s="221"/>
      <c r="DA24" s="221">
        <v>240.09012269088944</v>
      </c>
      <c r="DB24" s="222"/>
      <c r="DC24" s="222"/>
      <c r="DD24" s="221">
        <v>743.21323777098246</v>
      </c>
      <c r="DE24" s="222"/>
      <c r="DF24" s="222"/>
      <c r="DG24" s="221">
        <v>704.44551834214758</v>
      </c>
      <c r="DH24" s="111"/>
      <c r="DI24" s="111"/>
      <c r="DJ24" s="221">
        <v>502.70292269073497</v>
      </c>
      <c r="DK24" s="221"/>
      <c r="DL24" s="221"/>
      <c r="DM24" s="221">
        <v>463.07139703562518</v>
      </c>
      <c r="DN24" s="221"/>
      <c r="DO24" s="221"/>
      <c r="DP24" s="221">
        <v>240.3181491290207</v>
      </c>
      <c r="DQ24" s="221"/>
      <c r="DR24" s="221"/>
      <c r="DS24" s="221">
        <v>240.3181491290207</v>
      </c>
      <c r="DT24" s="222"/>
      <c r="DU24" s="222"/>
      <c r="DV24" s="221">
        <v>743.02107181975566</v>
      </c>
      <c r="DW24" s="222"/>
      <c r="DX24" s="222"/>
      <c r="DY24" s="221">
        <v>703.38954616464594</v>
      </c>
      <c r="DZ24" s="111"/>
      <c r="EA24" s="111"/>
      <c r="EB24" s="221">
        <v>486.16146584493623</v>
      </c>
      <c r="EC24" s="221"/>
      <c r="ED24" s="221"/>
      <c r="EE24" s="221">
        <v>448.3944759225605</v>
      </c>
      <c r="EF24" s="221"/>
      <c r="EG24" s="221"/>
      <c r="EH24" s="221">
        <v>255.27944393775996</v>
      </c>
      <c r="EI24" s="221"/>
      <c r="EJ24" s="221"/>
      <c r="EK24" s="221">
        <v>255.27944393775996</v>
      </c>
      <c r="EL24" s="222"/>
      <c r="EM24" s="222"/>
      <c r="EN24" s="221">
        <v>741.2342513380114</v>
      </c>
      <c r="EO24" s="222"/>
      <c r="EP24" s="222"/>
      <c r="EQ24" s="221">
        <v>703.74407252177798</v>
      </c>
      <c r="ER24" s="111"/>
      <c r="ES24" s="111"/>
      <c r="ET24" s="111"/>
      <c r="EU24" s="221">
        <v>501.18366493213972</v>
      </c>
      <c r="EV24" s="221"/>
      <c r="EW24" s="221"/>
      <c r="EX24" s="221">
        <v>462.9608565531218</v>
      </c>
      <c r="EY24" s="221"/>
      <c r="EZ24" s="221"/>
      <c r="FA24" s="221">
        <v>245.51422149781692</v>
      </c>
      <c r="FB24" s="221"/>
      <c r="FC24" s="221"/>
      <c r="FD24" s="221">
        <v>245.5142237969207</v>
      </c>
      <c r="FE24" s="222"/>
      <c r="FF24" s="222"/>
      <c r="FG24" s="221">
        <v>744.90898918063488</v>
      </c>
      <c r="FH24" s="222"/>
      <c r="FI24" s="222"/>
      <c r="FJ24" s="221">
        <v>707.40379128113796</v>
      </c>
      <c r="FK24" s="111"/>
      <c r="FM24" s="411"/>
      <c r="FN24" s="411"/>
    </row>
    <row r="25" spans="3:170" ht="12.75" customHeight="1">
      <c r="C25" s="27" t="s">
        <v>558</v>
      </c>
      <c r="D25" s="219"/>
      <c r="E25" s="221">
        <v>144.13819114287293</v>
      </c>
      <c r="F25" s="221"/>
      <c r="G25" s="221"/>
      <c r="H25" s="221">
        <v>72.976709120589049</v>
      </c>
      <c r="I25" s="221"/>
      <c r="J25" s="221"/>
      <c r="K25" s="221">
        <v>135.8006509642484</v>
      </c>
      <c r="L25" s="221"/>
      <c r="M25" s="221"/>
      <c r="N25" s="221">
        <v>135.8006509642484</v>
      </c>
      <c r="O25" s="222"/>
      <c r="P25" s="222"/>
      <c r="Q25" s="221">
        <v>279.93884210712133</v>
      </c>
      <c r="R25" s="222"/>
      <c r="S25" s="222"/>
      <c r="T25" s="221">
        <v>208.77736008483745</v>
      </c>
      <c r="U25" s="111"/>
      <c r="V25" s="111"/>
      <c r="W25" s="221">
        <v>143.44934997517515</v>
      </c>
      <c r="X25" s="221"/>
      <c r="Y25" s="221"/>
      <c r="Z25" s="221">
        <v>72.735959212528471</v>
      </c>
      <c r="AA25" s="221"/>
      <c r="AB25" s="221"/>
      <c r="AC25" s="221">
        <v>135.90558055203286</v>
      </c>
      <c r="AD25" s="221"/>
      <c r="AE25" s="221"/>
      <c r="AF25" s="221">
        <v>135.90558055203286</v>
      </c>
      <c r="AG25" s="222"/>
      <c r="AH25" s="222"/>
      <c r="AI25" s="221">
        <v>279.35493052720801</v>
      </c>
      <c r="AJ25" s="222"/>
      <c r="AK25" s="222"/>
      <c r="AL25" s="221">
        <v>208.64153976456134</v>
      </c>
      <c r="AM25" s="111"/>
      <c r="AN25" s="111"/>
      <c r="AO25" s="221">
        <v>144.3382806370814</v>
      </c>
      <c r="AP25" s="221"/>
      <c r="AQ25" s="221"/>
      <c r="AR25" s="221">
        <v>73.173888711972182</v>
      </c>
      <c r="AS25" s="221"/>
      <c r="AT25" s="221"/>
      <c r="AU25" s="221">
        <v>135.27620531509243</v>
      </c>
      <c r="AV25" s="221"/>
      <c r="AW25" s="221"/>
      <c r="AX25" s="221">
        <v>135.27620531509243</v>
      </c>
      <c r="AY25" s="222"/>
      <c r="AZ25" s="222"/>
      <c r="BA25" s="221">
        <v>279.61448595217382</v>
      </c>
      <c r="BB25" s="222"/>
      <c r="BC25" s="222"/>
      <c r="BD25" s="221">
        <v>208.45009402706461</v>
      </c>
      <c r="BE25" s="111"/>
      <c r="BF25" s="111"/>
      <c r="BG25" s="221">
        <v>143.56486306882471</v>
      </c>
      <c r="BH25" s="221"/>
      <c r="BI25" s="221"/>
      <c r="BJ25" s="221">
        <v>72.175460556121962</v>
      </c>
      <c r="BK25" s="221"/>
      <c r="BL25" s="221"/>
      <c r="BM25" s="221">
        <v>151.51137345019757</v>
      </c>
      <c r="BN25" s="221"/>
      <c r="BO25" s="221"/>
      <c r="BP25" s="221">
        <v>151.51137345019757</v>
      </c>
      <c r="BQ25" s="222"/>
      <c r="BR25" s="222"/>
      <c r="BS25" s="221">
        <v>295.07623651902225</v>
      </c>
      <c r="BT25" s="222"/>
      <c r="BU25" s="222"/>
      <c r="BV25" s="221">
        <v>223.68683400631954</v>
      </c>
      <c r="BW25" s="111"/>
      <c r="BX25" s="111"/>
      <c r="BY25" s="221">
        <v>142.78593655950664</v>
      </c>
      <c r="BZ25" s="221"/>
      <c r="CA25" s="221"/>
      <c r="CB25" s="221">
        <v>72.169586776375724</v>
      </c>
      <c r="CC25" s="221"/>
      <c r="CD25" s="221"/>
      <c r="CE25" s="221">
        <v>150.72496540307267</v>
      </c>
      <c r="CF25" s="221"/>
      <c r="CG25" s="221"/>
      <c r="CH25" s="221">
        <v>150.72496540307267</v>
      </c>
      <c r="CI25" s="222"/>
      <c r="CJ25" s="222"/>
      <c r="CK25" s="221">
        <v>293.51090196257928</v>
      </c>
      <c r="CL25" s="222"/>
      <c r="CM25" s="222"/>
      <c r="CN25" s="221">
        <v>222.8945521794484</v>
      </c>
      <c r="CO25" s="111"/>
      <c r="CP25" s="219"/>
      <c r="CQ25" s="111"/>
      <c r="CR25" s="221">
        <v>139.1564132703528</v>
      </c>
      <c r="CS25" s="221"/>
      <c r="CT25" s="221"/>
      <c r="CU25" s="221">
        <v>68.979453238207938</v>
      </c>
      <c r="CV25" s="221"/>
      <c r="CW25" s="221"/>
      <c r="CX25" s="221">
        <v>153.10628396323074</v>
      </c>
      <c r="CY25" s="221"/>
      <c r="CZ25" s="221"/>
      <c r="DA25" s="221">
        <v>153.10628396323074</v>
      </c>
      <c r="DB25" s="222"/>
      <c r="DC25" s="222"/>
      <c r="DD25" s="221">
        <v>292.26269723358354</v>
      </c>
      <c r="DE25" s="222"/>
      <c r="DF25" s="222"/>
      <c r="DG25" s="221">
        <v>222.08573720143869</v>
      </c>
      <c r="DH25" s="111"/>
      <c r="DI25" s="111"/>
      <c r="DJ25" s="221">
        <v>139.95223377363948</v>
      </c>
      <c r="DK25" s="221"/>
      <c r="DL25" s="221"/>
      <c r="DM25" s="221">
        <v>68.758197705500365</v>
      </c>
      <c r="DN25" s="221"/>
      <c r="DO25" s="221"/>
      <c r="DP25" s="221">
        <v>153.25328950285655</v>
      </c>
      <c r="DQ25" s="221"/>
      <c r="DR25" s="221"/>
      <c r="DS25" s="221">
        <v>153.25328950285655</v>
      </c>
      <c r="DT25" s="222"/>
      <c r="DU25" s="222"/>
      <c r="DV25" s="221">
        <v>293.20552327649602</v>
      </c>
      <c r="DW25" s="222"/>
      <c r="DX25" s="222"/>
      <c r="DY25" s="221">
        <v>222.01148720835693</v>
      </c>
      <c r="DZ25" s="111"/>
      <c r="EA25" s="111"/>
      <c r="EB25" s="221">
        <v>138.27345493744232</v>
      </c>
      <c r="EC25" s="221"/>
      <c r="ED25" s="221"/>
      <c r="EE25" s="221">
        <v>71.16017886198324</v>
      </c>
      <c r="EF25" s="221"/>
      <c r="EG25" s="221"/>
      <c r="EH25" s="221">
        <v>150.17892824589816</v>
      </c>
      <c r="EI25" s="221"/>
      <c r="EJ25" s="221"/>
      <c r="EK25" s="221">
        <v>150.17892824589816</v>
      </c>
      <c r="EL25" s="222"/>
      <c r="EM25" s="222"/>
      <c r="EN25" s="221">
        <v>288.28099899943464</v>
      </c>
      <c r="EO25" s="222"/>
      <c r="EP25" s="222"/>
      <c r="EQ25" s="221">
        <v>221.42364078659202</v>
      </c>
      <c r="ER25" s="111"/>
      <c r="ES25" s="111"/>
      <c r="ET25" s="111"/>
      <c r="EU25" s="221">
        <v>134.61907750610661</v>
      </c>
      <c r="EV25" s="221"/>
      <c r="EW25" s="221"/>
      <c r="EX25" s="221">
        <v>68.966677860441919</v>
      </c>
      <c r="EY25" s="221"/>
      <c r="EZ25" s="221"/>
      <c r="FA25" s="221">
        <v>151.87405516657333</v>
      </c>
      <c r="FB25" s="221"/>
      <c r="FC25" s="221"/>
      <c r="FD25" s="221">
        <v>151.87405658878919</v>
      </c>
      <c r="FE25" s="222"/>
      <c r="FF25" s="222"/>
      <c r="FG25" s="221">
        <v>284.82100054411427</v>
      </c>
      <c r="FH25" s="222"/>
      <c r="FI25" s="222"/>
      <c r="FJ25" s="221">
        <v>219.30875839088327</v>
      </c>
      <c r="FK25" s="111"/>
      <c r="FM25" s="411"/>
      <c r="FN25" s="411"/>
    </row>
    <row r="26" spans="3:170" ht="12.75" customHeight="1">
      <c r="C26" s="27" t="s">
        <v>559</v>
      </c>
      <c r="D26" s="219"/>
      <c r="E26" s="221">
        <v>864.91463986349095</v>
      </c>
      <c r="F26" s="221"/>
      <c r="G26" s="221"/>
      <c r="H26" s="221">
        <v>687.37256353686735</v>
      </c>
      <c r="I26" s="221"/>
      <c r="J26" s="221"/>
      <c r="K26" s="221">
        <v>272.65353136796512</v>
      </c>
      <c r="L26" s="221"/>
      <c r="M26" s="221"/>
      <c r="N26" s="221">
        <v>272.65353136796512</v>
      </c>
      <c r="O26" s="222"/>
      <c r="P26" s="222"/>
      <c r="Q26" s="221">
        <v>1137.5681712314561</v>
      </c>
      <c r="R26" s="222"/>
      <c r="S26" s="222"/>
      <c r="T26" s="221">
        <v>960.02609490483246</v>
      </c>
      <c r="U26" s="111"/>
      <c r="V26" s="111"/>
      <c r="W26" s="221">
        <v>855.34448988878876</v>
      </c>
      <c r="X26" s="221"/>
      <c r="Y26" s="221"/>
      <c r="Z26" s="221">
        <v>689.49767365687637</v>
      </c>
      <c r="AA26" s="221"/>
      <c r="AB26" s="221"/>
      <c r="AC26" s="221">
        <v>272.84184055641043</v>
      </c>
      <c r="AD26" s="221"/>
      <c r="AE26" s="221"/>
      <c r="AF26" s="221">
        <v>272.84184055641043</v>
      </c>
      <c r="AG26" s="222"/>
      <c r="AH26" s="222"/>
      <c r="AI26" s="221">
        <v>1128.1863304451992</v>
      </c>
      <c r="AJ26" s="222"/>
      <c r="AK26" s="222"/>
      <c r="AL26" s="221">
        <v>962.33951421328675</v>
      </c>
      <c r="AM26" s="111"/>
      <c r="AN26" s="111"/>
      <c r="AO26" s="221">
        <v>893.06990888248697</v>
      </c>
      <c r="AP26" s="221"/>
      <c r="AQ26" s="221"/>
      <c r="AR26" s="221">
        <v>727.01318124498925</v>
      </c>
      <c r="AS26" s="221"/>
      <c r="AT26" s="221"/>
      <c r="AU26" s="221">
        <v>271.59791750227316</v>
      </c>
      <c r="AV26" s="221"/>
      <c r="AW26" s="221"/>
      <c r="AX26" s="221">
        <v>271.59791750227316</v>
      </c>
      <c r="AY26" s="222"/>
      <c r="AZ26" s="222"/>
      <c r="BA26" s="221">
        <v>1164.6678263847602</v>
      </c>
      <c r="BB26" s="222"/>
      <c r="BC26" s="222"/>
      <c r="BD26" s="221">
        <v>998.61109874726242</v>
      </c>
      <c r="BE26" s="111"/>
      <c r="BF26" s="111"/>
      <c r="BG26" s="221">
        <v>888.28351132461228</v>
      </c>
      <c r="BH26" s="221"/>
      <c r="BI26" s="221"/>
      <c r="BJ26" s="221">
        <v>717.1063862442744</v>
      </c>
      <c r="BK26" s="221"/>
      <c r="BL26" s="221"/>
      <c r="BM26" s="221">
        <v>304.19221034667828</v>
      </c>
      <c r="BN26" s="221"/>
      <c r="BO26" s="221"/>
      <c r="BP26" s="221">
        <v>304.19221034667828</v>
      </c>
      <c r="BQ26" s="222"/>
      <c r="BR26" s="222"/>
      <c r="BS26" s="221">
        <v>1192.4757216712906</v>
      </c>
      <c r="BT26" s="222"/>
      <c r="BU26" s="222"/>
      <c r="BV26" s="221">
        <v>1021.2985965909527</v>
      </c>
      <c r="BW26" s="111"/>
      <c r="BX26" s="111"/>
      <c r="BY26" s="221">
        <v>887.73377792941653</v>
      </c>
      <c r="BZ26" s="221"/>
      <c r="CA26" s="221"/>
      <c r="CB26" s="221">
        <v>716.88296134464554</v>
      </c>
      <c r="CC26" s="221"/>
      <c r="CD26" s="221"/>
      <c r="CE26" s="221">
        <v>302.6103462734543</v>
      </c>
      <c r="CF26" s="221"/>
      <c r="CG26" s="221"/>
      <c r="CH26" s="221">
        <v>302.6103462734543</v>
      </c>
      <c r="CI26" s="222"/>
      <c r="CJ26" s="222"/>
      <c r="CK26" s="221">
        <v>1190.3441242028707</v>
      </c>
      <c r="CL26" s="222"/>
      <c r="CM26" s="222"/>
      <c r="CN26" s="221">
        <v>1019.4933076180998</v>
      </c>
      <c r="CO26" s="111"/>
      <c r="CP26" s="219"/>
      <c r="CQ26" s="111"/>
      <c r="CR26" s="221">
        <v>892.88930947924746</v>
      </c>
      <c r="CS26" s="221"/>
      <c r="CT26" s="221"/>
      <c r="CU26" s="221">
        <v>716.9869026025226</v>
      </c>
      <c r="CV26" s="221"/>
      <c r="CW26" s="221"/>
      <c r="CX26" s="221">
        <v>304.19348198724316</v>
      </c>
      <c r="CY26" s="221"/>
      <c r="CZ26" s="221"/>
      <c r="DA26" s="221">
        <v>304.19348198724316</v>
      </c>
      <c r="DB26" s="222"/>
      <c r="DC26" s="222"/>
      <c r="DD26" s="221">
        <v>1197.0827914664906</v>
      </c>
      <c r="DE26" s="222"/>
      <c r="DF26" s="222"/>
      <c r="DG26" s="221">
        <v>1021.1803845897657</v>
      </c>
      <c r="DH26" s="111"/>
      <c r="DI26" s="111"/>
      <c r="DJ26" s="221">
        <v>851.06125813356198</v>
      </c>
      <c r="DK26" s="221"/>
      <c r="DL26" s="221"/>
      <c r="DM26" s="221">
        <v>681.27193663200637</v>
      </c>
      <c r="DN26" s="221"/>
      <c r="DO26" s="221"/>
      <c r="DP26" s="221">
        <v>304.5020342488865</v>
      </c>
      <c r="DQ26" s="221"/>
      <c r="DR26" s="221"/>
      <c r="DS26" s="221">
        <v>304.5020342488865</v>
      </c>
      <c r="DT26" s="222"/>
      <c r="DU26" s="222"/>
      <c r="DV26" s="221">
        <v>1155.5632923824485</v>
      </c>
      <c r="DW26" s="222"/>
      <c r="DX26" s="222"/>
      <c r="DY26" s="221">
        <v>985.77397088089288</v>
      </c>
      <c r="DZ26" s="111"/>
      <c r="EA26" s="111"/>
      <c r="EB26" s="221">
        <v>850.87469162732827</v>
      </c>
      <c r="EC26" s="221"/>
      <c r="ED26" s="221"/>
      <c r="EE26" s="221">
        <v>679.93802803900962</v>
      </c>
      <c r="EF26" s="221"/>
      <c r="EG26" s="221"/>
      <c r="EH26" s="221">
        <v>314.21615239088254</v>
      </c>
      <c r="EI26" s="221"/>
      <c r="EJ26" s="221"/>
      <c r="EK26" s="221">
        <v>314.21615239088254</v>
      </c>
      <c r="EL26" s="222"/>
      <c r="EM26" s="222"/>
      <c r="EN26" s="221">
        <v>1164.9215967109274</v>
      </c>
      <c r="EO26" s="222"/>
      <c r="EP26" s="222"/>
      <c r="EQ26" s="221">
        <v>994.21177594727192</v>
      </c>
      <c r="ER26" s="111"/>
      <c r="ES26" s="111"/>
      <c r="ET26" s="111"/>
      <c r="EU26" s="221">
        <v>846.72842100465857</v>
      </c>
      <c r="EV26" s="221"/>
      <c r="EW26" s="221"/>
      <c r="EX26" s="221">
        <v>677.43948230028207</v>
      </c>
      <c r="EY26" s="221"/>
      <c r="EZ26" s="221"/>
      <c r="FA26" s="221">
        <v>307.18906876766323</v>
      </c>
      <c r="FB26" s="221"/>
      <c r="FC26" s="221"/>
      <c r="FD26" s="221">
        <v>307.18907164431761</v>
      </c>
      <c r="FE26" s="222"/>
      <c r="FF26" s="222"/>
      <c r="FG26" s="221">
        <v>1152.3873450793687</v>
      </c>
      <c r="FH26" s="222"/>
      <c r="FI26" s="222"/>
      <c r="FJ26" s="221">
        <v>983.68069037382043</v>
      </c>
      <c r="FK26" s="111"/>
      <c r="FM26" s="411"/>
      <c r="FN26" s="411"/>
    </row>
    <row r="27" spans="3:170" ht="12.75" customHeight="1">
      <c r="C27" s="27" t="s">
        <v>560</v>
      </c>
      <c r="D27" s="219"/>
      <c r="E27" s="221">
        <v>443.70065605413032</v>
      </c>
      <c r="F27" s="221"/>
      <c r="G27" s="221"/>
      <c r="H27" s="221">
        <v>352.65288526048016</v>
      </c>
      <c r="I27" s="221"/>
      <c r="J27" s="221"/>
      <c r="K27" s="221">
        <v>2.1800333690643079</v>
      </c>
      <c r="L27" s="221"/>
      <c r="M27" s="221"/>
      <c r="N27" s="221">
        <v>2.1800333690643079</v>
      </c>
      <c r="O27" s="222"/>
      <c r="P27" s="222"/>
      <c r="Q27" s="221">
        <v>445.88068942319461</v>
      </c>
      <c r="R27" s="222"/>
      <c r="S27" s="222"/>
      <c r="T27" s="221">
        <v>354.83291862954445</v>
      </c>
      <c r="U27" s="111"/>
      <c r="V27" s="111"/>
      <c r="W27" s="221">
        <v>440.66422573579183</v>
      </c>
      <c r="X27" s="221"/>
      <c r="Y27" s="221"/>
      <c r="Z27" s="221">
        <v>352.80561582367392</v>
      </c>
      <c r="AA27" s="221"/>
      <c r="AB27" s="221"/>
      <c r="AC27" s="221">
        <v>2.1817465610857703</v>
      </c>
      <c r="AD27" s="221"/>
      <c r="AE27" s="221"/>
      <c r="AF27" s="221">
        <v>2.1817465610857703</v>
      </c>
      <c r="AG27" s="222"/>
      <c r="AH27" s="222"/>
      <c r="AI27" s="221">
        <v>442.84597229687762</v>
      </c>
      <c r="AJ27" s="222"/>
      <c r="AK27" s="222"/>
      <c r="AL27" s="221">
        <v>354.98736238475971</v>
      </c>
      <c r="AM27" s="111"/>
      <c r="AN27" s="111"/>
      <c r="AO27" s="221">
        <v>443.28986585505356</v>
      </c>
      <c r="AP27" s="221"/>
      <c r="AQ27" s="221"/>
      <c r="AR27" s="221">
        <v>354.88539785960796</v>
      </c>
      <c r="AS27" s="221"/>
      <c r="AT27" s="221"/>
      <c r="AU27" s="221">
        <v>2.1716429490541684</v>
      </c>
      <c r="AV27" s="221"/>
      <c r="AW27" s="221"/>
      <c r="AX27" s="221">
        <v>2.1716429490541684</v>
      </c>
      <c r="AY27" s="222"/>
      <c r="AZ27" s="222"/>
      <c r="BA27" s="221">
        <v>445.46150880410772</v>
      </c>
      <c r="BB27" s="222"/>
      <c r="BC27" s="222"/>
      <c r="BD27" s="221">
        <v>357.05704080866212</v>
      </c>
      <c r="BE27" s="111"/>
      <c r="BF27" s="111"/>
      <c r="BG27" s="221">
        <v>440.91755784115037</v>
      </c>
      <c r="BH27" s="221"/>
      <c r="BI27" s="221"/>
      <c r="BJ27" s="221">
        <v>349.8160215132516</v>
      </c>
      <c r="BK27" s="221"/>
      <c r="BL27" s="221"/>
      <c r="BM27" s="221">
        <v>2.4322245309856205</v>
      </c>
      <c r="BN27" s="221"/>
      <c r="BO27" s="221"/>
      <c r="BP27" s="221">
        <v>2.4322245309856205</v>
      </c>
      <c r="BQ27" s="222"/>
      <c r="BR27" s="222"/>
      <c r="BS27" s="221">
        <v>443.34978237213596</v>
      </c>
      <c r="BT27" s="222"/>
      <c r="BU27" s="222"/>
      <c r="BV27" s="221">
        <v>352.24824604423719</v>
      </c>
      <c r="BW27" s="111"/>
      <c r="BX27" s="111"/>
      <c r="BY27" s="221">
        <v>439.58459095700522</v>
      </c>
      <c r="BZ27" s="221"/>
      <c r="CA27" s="221"/>
      <c r="CB27" s="221">
        <v>349.78755280316318</v>
      </c>
      <c r="CC27" s="221"/>
      <c r="CD27" s="221"/>
      <c r="CE27" s="221">
        <v>2.4196002579688463</v>
      </c>
      <c r="CF27" s="221"/>
      <c r="CG27" s="221"/>
      <c r="CH27" s="221">
        <v>2.4196002579688463</v>
      </c>
      <c r="CI27" s="222"/>
      <c r="CJ27" s="222"/>
      <c r="CK27" s="221">
        <v>442.00419121497407</v>
      </c>
      <c r="CL27" s="222"/>
      <c r="CM27" s="222"/>
      <c r="CN27" s="221">
        <v>352.20715306113203</v>
      </c>
      <c r="CO27" s="111"/>
      <c r="CP27" s="219"/>
      <c r="CQ27" s="111"/>
      <c r="CR27" s="221">
        <v>443.93092471181671</v>
      </c>
      <c r="CS27" s="221"/>
      <c r="CT27" s="221"/>
      <c r="CU27" s="221">
        <v>354.08312059511246</v>
      </c>
      <c r="CV27" s="221"/>
      <c r="CW27" s="221"/>
      <c r="CX27" s="221">
        <v>2.4321828400517136</v>
      </c>
      <c r="CY27" s="221"/>
      <c r="CZ27" s="221"/>
      <c r="DA27" s="221">
        <v>2.4321828400517136</v>
      </c>
      <c r="DB27" s="222"/>
      <c r="DC27" s="222"/>
      <c r="DD27" s="221">
        <v>446.36310755186844</v>
      </c>
      <c r="DE27" s="222"/>
      <c r="DF27" s="222"/>
      <c r="DG27" s="221">
        <v>356.51530343516418</v>
      </c>
      <c r="DH27" s="111"/>
      <c r="DI27" s="111"/>
      <c r="DJ27" s="221">
        <v>442.26639890960939</v>
      </c>
      <c r="DK27" s="221"/>
      <c r="DL27" s="221"/>
      <c r="DM27" s="221">
        <v>353.29145400394754</v>
      </c>
      <c r="DN27" s="221"/>
      <c r="DO27" s="221"/>
      <c r="DP27" s="221">
        <v>2.4345181090009369</v>
      </c>
      <c r="DQ27" s="221"/>
      <c r="DR27" s="221"/>
      <c r="DS27" s="221">
        <v>2.4345181090009369</v>
      </c>
      <c r="DT27" s="222"/>
      <c r="DU27" s="222"/>
      <c r="DV27" s="221">
        <v>444.70091701861031</v>
      </c>
      <c r="DW27" s="222"/>
      <c r="DX27" s="222"/>
      <c r="DY27" s="221">
        <v>355.72597211294845</v>
      </c>
      <c r="DZ27" s="111"/>
      <c r="EA27" s="111"/>
      <c r="EB27" s="221">
        <v>444.25683213155918</v>
      </c>
      <c r="EC27" s="221"/>
      <c r="ED27" s="221"/>
      <c r="EE27" s="221">
        <v>355.02569253349316</v>
      </c>
      <c r="EF27" s="221"/>
      <c r="EG27" s="221"/>
      <c r="EH27" s="221">
        <v>2.3064209295594362</v>
      </c>
      <c r="EI27" s="221"/>
      <c r="EJ27" s="221"/>
      <c r="EK27" s="221">
        <v>2.3064209295594362</v>
      </c>
      <c r="EL27" s="222"/>
      <c r="EM27" s="222"/>
      <c r="EN27" s="221">
        <v>446.70968892424531</v>
      </c>
      <c r="EO27" s="222"/>
      <c r="EP27" s="222"/>
      <c r="EQ27" s="221">
        <v>357.25391946475219</v>
      </c>
      <c r="ER27" s="111"/>
      <c r="ES27" s="111"/>
      <c r="ET27" s="111"/>
      <c r="EU27" s="221">
        <v>442.35559967188738</v>
      </c>
      <c r="EV27" s="221"/>
      <c r="EW27" s="221"/>
      <c r="EX27" s="221">
        <v>354.14796849711172</v>
      </c>
      <c r="EY27" s="221"/>
      <c r="EZ27" s="221"/>
      <c r="FA27" s="221">
        <v>2.4712345502699309</v>
      </c>
      <c r="FB27" s="221"/>
      <c r="FC27" s="221"/>
      <c r="FD27" s="221">
        <v>2.4712345734116643</v>
      </c>
      <c r="FE27" s="222"/>
      <c r="FF27" s="222"/>
      <c r="FG27" s="221">
        <v>446.2187253290702</v>
      </c>
      <c r="FH27" s="222"/>
      <c r="FI27" s="222"/>
      <c r="FJ27" s="221">
        <v>358.00573775374323</v>
      </c>
      <c r="FK27" s="111"/>
      <c r="FM27" s="411"/>
      <c r="FN27" s="411"/>
    </row>
    <row r="28" spans="3:170" ht="12.75" customHeight="1">
      <c r="C28" s="27" t="s">
        <v>561</v>
      </c>
      <c r="D28" s="224"/>
      <c r="E28" s="221">
        <v>602.9127728995735</v>
      </c>
      <c r="F28" s="221"/>
      <c r="G28" s="221"/>
      <c r="H28" s="221">
        <v>385.08429670216287</v>
      </c>
      <c r="I28" s="221"/>
      <c r="J28" s="221"/>
      <c r="K28" s="223" t="s">
        <v>553</v>
      </c>
      <c r="L28" s="221"/>
      <c r="M28" s="221"/>
      <c r="N28" s="223" t="s">
        <v>553</v>
      </c>
      <c r="O28" s="222"/>
      <c r="P28" s="222"/>
      <c r="Q28" s="221">
        <v>602.9127728995735</v>
      </c>
      <c r="R28" s="222"/>
      <c r="S28" s="222"/>
      <c r="T28" s="221">
        <v>385.08429670216287</v>
      </c>
      <c r="U28" s="111"/>
      <c r="V28" s="111"/>
      <c r="W28" s="221">
        <v>599.17729263333558</v>
      </c>
      <c r="X28" s="221"/>
      <c r="Y28" s="221"/>
      <c r="Z28" s="221">
        <v>385.96883934281357</v>
      </c>
      <c r="AA28" s="221"/>
      <c r="AB28" s="221"/>
      <c r="AC28" s="223" t="s">
        <v>553</v>
      </c>
      <c r="AD28" s="221"/>
      <c r="AE28" s="221"/>
      <c r="AF28" s="223" t="s">
        <v>553</v>
      </c>
      <c r="AG28" s="222"/>
      <c r="AH28" s="222"/>
      <c r="AI28" s="223">
        <v>599.17729263333558</v>
      </c>
      <c r="AJ28" s="221"/>
      <c r="AK28" s="221"/>
      <c r="AL28" s="223">
        <v>385.96883934281357</v>
      </c>
      <c r="AM28" s="111"/>
      <c r="AN28" s="111"/>
      <c r="AO28" s="221">
        <v>602.74640604404181</v>
      </c>
      <c r="AP28" s="221"/>
      <c r="AQ28" s="221"/>
      <c r="AR28" s="221">
        <v>388.10328618148287</v>
      </c>
      <c r="AS28" s="221"/>
      <c r="AT28" s="221"/>
      <c r="AU28" s="223" t="s">
        <v>553</v>
      </c>
      <c r="AV28" s="221"/>
      <c r="AW28" s="221"/>
      <c r="AX28" s="223" t="s">
        <v>553</v>
      </c>
      <c r="AY28" s="222"/>
      <c r="AZ28" s="222"/>
      <c r="BA28" s="223">
        <v>602.74640604404181</v>
      </c>
      <c r="BB28" s="221"/>
      <c r="BC28" s="221"/>
      <c r="BD28" s="223">
        <v>388.10328618148287</v>
      </c>
      <c r="BE28" s="111"/>
      <c r="BF28" s="111"/>
      <c r="BG28" s="221">
        <v>599.51666922314826</v>
      </c>
      <c r="BH28" s="221"/>
      <c r="BI28" s="221"/>
      <c r="BJ28" s="221">
        <v>382.80777360011871</v>
      </c>
      <c r="BK28" s="221"/>
      <c r="BL28" s="221"/>
      <c r="BM28" s="223" t="s">
        <v>553</v>
      </c>
      <c r="BN28" s="221"/>
      <c r="BO28" s="221"/>
      <c r="BP28" s="223" t="s">
        <v>553</v>
      </c>
      <c r="BQ28" s="222"/>
      <c r="BR28" s="222"/>
      <c r="BS28" s="223">
        <v>599.51666922314826</v>
      </c>
      <c r="BT28" s="221"/>
      <c r="BU28" s="221"/>
      <c r="BV28" s="223">
        <v>382.80777360011871</v>
      </c>
      <c r="BW28" s="111"/>
      <c r="BX28" s="111"/>
      <c r="BY28" s="221">
        <v>595.67545341433561</v>
      </c>
      <c r="BZ28" s="221"/>
      <c r="CA28" s="221"/>
      <c r="CB28" s="221">
        <v>381.82024112990598</v>
      </c>
      <c r="CC28" s="221"/>
      <c r="CD28" s="221"/>
      <c r="CE28" s="223" t="s">
        <v>553</v>
      </c>
      <c r="CF28" s="221"/>
      <c r="CG28" s="221"/>
      <c r="CH28" s="223" t="s">
        <v>553</v>
      </c>
      <c r="CI28" s="222"/>
      <c r="CJ28" s="222"/>
      <c r="CK28" s="223">
        <v>595.67545341433561</v>
      </c>
      <c r="CL28" s="221"/>
      <c r="CM28" s="221"/>
      <c r="CN28" s="223">
        <v>381.82024112990598</v>
      </c>
      <c r="CO28" s="111"/>
      <c r="CP28" s="224"/>
      <c r="CQ28" s="111"/>
      <c r="CR28" s="221">
        <v>594.90276937431281</v>
      </c>
      <c r="CS28" s="221"/>
      <c r="CT28" s="221"/>
      <c r="CU28" s="221">
        <v>381.8708054185862</v>
      </c>
      <c r="CV28" s="221"/>
      <c r="CW28" s="221"/>
      <c r="CX28" s="223" t="s">
        <v>553</v>
      </c>
      <c r="CY28" s="221"/>
      <c r="CZ28" s="221"/>
      <c r="DA28" s="223" t="s">
        <v>553</v>
      </c>
      <c r="DB28" s="222"/>
      <c r="DC28" s="222"/>
      <c r="DD28" s="223">
        <v>594.90276937431281</v>
      </c>
      <c r="DE28" s="221"/>
      <c r="DF28" s="221"/>
      <c r="DG28" s="223">
        <v>381.8708054185862</v>
      </c>
      <c r="DH28" s="111"/>
      <c r="DI28" s="111"/>
      <c r="DJ28" s="221">
        <v>609.54636547450991</v>
      </c>
      <c r="DK28" s="221"/>
      <c r="DL28" s="221"/>
      <c r="DM28" s="221">
        <v>382.42914026888957</v>
      </c>
      <c r="DN28" s="221"/>
      <c r="DO28" s="221"/>
      <c r="DP28" s="223" t="s">
        <v>553</v>
      </c>
      <c r="DQ28" s="221"/>
      <c r="DR28" s="221"/>
      <c r="DS28" s="223" t="s">
        <v>553</v>
      </c>
      <c r="DT28" s="222"/>
      <c r="DU28" s="222"/>
      <c r="DV28" s="223">
        <v>609.54636547450991</v>
      </c>
      <c r="DW28" s="221"/>
      <c r="DX28" s="221"/>
      <c r="DY28" s="223">
        <v>382.42914026888957</v>
      </c>
      <c r="DZ28" s="111"/>
      <c r="EA28" s="111"/>
      <c r="EB28" s="221">
        <v>624.85736133728653</v>
      </c>
      <c r="EC28" s="221"/>
      <c r="ED28" s="221"/>
      <c r="EE28" s="221">
        <v>380.25128697456148</v>
      </c>
      <c r="EF28" s="221"/>
      <c r="EG28" s="221"/>
      <c r="EH28" s="223" t="s">
        <v>553</v>
      </c>
      <c r="EI28" s="221"/>
      <c r="EJ28" s="221"/>
      <c r="EK28" s="223" t="s">
        <v>553</v>
      </c>
      <c r="EL28" s="222"/>
      <c r="EM28" s="222"/>
      <c r="EN28" s="223">
        <v>625.0680358467107</v>
      </c>
      <c r="EO28" s="221"/>
      <c r="EP28" s="221"/>
      <c r="EQ28" s="223">
        <v>380.16588367616072</v>
      </c>
      <c r="ER28" s="111"/>
      <c r="ES28" s="111"/>
      <c r="ET28" s="111"/>
      <c r="EU28" s="221">
        <v>623.54975878608968</v>
      </c>
      <c r="EV28" s="221"/>
      <c r="EW28" s="221"/>
      <c r="EX28" s="221">
        <v>382.8951049739552</v>
      </c>
      <c r="EY28" s="221"/>
      <c r="EZ28" s="221"/>
      <c r="FA28" s="223">
        <v>0</v>
      </c>
      <c r="FB28" s="221"/>
      <c r="FC28" s="221"/>
      <c r="FD28" s="223">
        <v>0</v>
      </c>
      <c r="FE28" s="222"/>
      <c r="FF28" s="222"/>
      <c r="FG28" s="223">
        <v>625.56009311940966</v>
      </c>
      <c r="FH28" s="221"/>
      <c r="FI28" s="221"/>
      <c r="FJ28" s="223">
        <v>384.42599049719962</v>
      </c>
      <c r="FK28" s="111"/>
      <c r="FM28" s="411"/>
      <c r="FN28" s="411"/>
    </row>
    <row r="29" spans="3:170" ht="12.75" customHeight="1">
      <c r="C29" s="27" t="s">
        <v>562</v>
      </c>
      <c r="D29" s="225"/>
      <c r="E29" s="221">
        <v>559.15242329875764</v>
      </c>
      <c r="F29" s="221"/>
      <c r="G29" s="221"/>
      <c r="H29" s="221">
        <v>501.27205048578026</v>
      </c>
      <c r="I29" s="221"/>
      <c r="J29" s="221"/>
      <c r="K29" s="221">
        <v>71.928579961822919</v>
      </c>
      <c r="L29" s="221"/>
      <c r="M29" s="221"/>
      <c r="N29" s="221">
        <v>71.928579961822919</v>
      </c>
      <c r="O29" s="222"/>
      <c r="P29" s="222"/>
      <c r="Q29" s="221">
        <v>631.08100326058059</v>
      </c>
      <c r="R29" s="222"/>
      <c r="S29" s="222"/>
      <c r="T29" s="221">
        <v>573.2006304476032</v>
      </c>
      <c r="U29" s="111"/>
      <c r="V29" s="111"/>
      <c r="W29" s="221">
        <v>550.38273115906657</v>
      </c>
      <c r="X29" s="221"/>
      <c r="Y29" s="221"/>
      <c r="Z29" s="221">
        <v>502.87434680429476</v>
      </c>
      <c r="AA29" s="221"/>
      <c r="AB29" s="221"/>
      <c r="AC29" s="221">
        <v>71.985105458659064</v>
      </c>
      <c r="AD29" s="221"/>
      <c r="AE29" s="221"/>
      <c r="AF29" s="221">
        <v>71.985105458659064</v>
      </c>
      <c r="AG29" s="222"/>
      <c r="AH29" s="222"/>
      <c r="AI29" s="221">
        <v>622.36783661772563</v>
      </c>
      <c r="AJ29" s="222"/>
      <c r="AK29" s="222"/>
      <c r="AL29" s="221">
        <v>574.85945226295382</v>
      </c>
      <c r="AM29" s="111"/>
      <c r="AN29" s="111"/>
      <c r="AO29" s="221">
        <v>551.32500696521618</v>
      </c>
      <c r="AP29" s="221"/>
      <c r="AQ29" s="221"/>
      <c r="AR29" s="221">
        <v>503.02141727907781</v>
      </c>
      <c r="AS29" s="221"/>
      <c r="AT29" s="221"/>
      <c r="AU29" s="221">
        <v>71.660653597025018</v>
      </c>
      <c r="AV29" s="221"/>
      <c r="AW29" s="221"/>
      <c r="AX29" s="221">
        <v>71.660653597025018</v>
      </c>
      <c r="AY29" s="222"/>
      <c r="AZ29" s="222"/>
      <c r="BA29" s="221">
        <v>622.98566056224115</v>
      </c>
      <c r="BB29" s="222"/>
      <c r="BC29" s="222"/>
      <c r="BD29" s="221">
        <v>574.68207087610278</v>
      </c>
      <c r="BE29" s="111"/>
      <c r="BF29" s="111"/>
      <c r="BG29" s="221">
        <v>537.98572576410231</v>
      </c>
      <c r="BH29" s="221"/>
      <c r="BI29" s="221"/>
      <c r="BJ29" s="221">
        <v>485.77493581737326</v>
      </c>
      <c r="BK29" s="221"/>
      <c r="BL29" s="221"/>
      <c r="BM29" s="221">
        <v>79.911672436506009</v>
      </c>
      <c r="BN29" s="221"/>
      <c r="BO29" s="221"/>
      <c r="BP29" s="221">
        <v>79.911672436506009</v>
      </c>
      <c r="BQ29" s="222"/>
      <c r="BR29" s="222"/>
      <c r="BS29" s="221">
        <v>617.89739820060834</v>
      </c>
      <c r="BT29" s="222"/>
      <c r="BU29" s="222"/>
      <c r="BV29" s="221">
        <v>565.68660825387929</v>
      </c>
      <c r="BW29" s="111"/>
      <c r="BX29" s="111"/>
      <c r="BY29" s="221">
        <v>538.92250394232735</v>
      </c>
      <c r="BZ29" s="221"/>
      <c r="CA29" s="221"/>
      <c r="CB29" s="221">
        <v>487.0029045703202</v>
      </c>
      <c r="CC29" s="221"/>
      <c r="CD29" s="221"/>
      <c r="CE29" s="221">
        <v>79.496897091050272</v>
      </c>
      <c r="CF29" s="221"/>
      <c r="CG29" s="221"/>
      <c r="CH29" s="221">
        <v>79.496897091050272</v>
      </c>
      <c r="CI29" s="222"/>
      <c r="CJ29" s="222"/>
      <c r="CK29" s="221">
        <v>618.41940103337765</v>
      </c>
      <c r="CL29" s="222"/>
      <c r="CM29" s="222"/>
      <c r="CN29" s="221">
        <v>566.4998016613705</v>
      </c>
      <c r="CO29" s="111"/>
      <c r="CP29" s="225"/>
      <c r="CQ29" s="111"/>
      <c r="CR29" s="221">
        <v>566.83961938222171</v>
      </c>
      <c r="CS29" s="221"/>
      <c r="CT29" s="221"/>
      <c r="CU29" s="221">
        <v>514.86108614937257</v>
      </c>
      <c r="CV29" s="221"/>
      <c r="CW29" s="221"/>
      <c r="CX29" s="221">
        <v>79.910302664837516</v>
      </c>
      <c r="CY29" s="221"/>
      <c r="CZ29" s="221"/>
      <c r="DA29" s="221">
        <v>79.910302664837516</v>
      </c>
      <c r="DB29" s="222"/>
      <c r="DC29" s="222"/>
      <c r="DD29" s="221">
        <v>646.74992204705927</v>
      </c>
      <c r="DE29" s="222"/>
      <c r="DF29" s="222"/>
      <c r="DG29" s="221">
        <v>594.77138881421013</v>
      </c>
      <c r="DH29" s="111"/>
      <c r="DI29" s="111"/>
      <c r="DJ29" s="221">
        <v>567.03201901517127</v>
      </c>
      <c r="DK29" s="221"/>
      <c r="DL29" s="221"/>
      <c r="DM29" s="221">
        <v>513.56668021197652</v>
      </c>
      <c r="DN29" s="221"/>
      <c r="DO29" s="221"/>
      <c r="DP29" s="221">
        <v>80.023484172438401</v>
      </c>
      <c r="DQ29" s="221"/>
      <c r="DR29" s="221"/>
      <c r="DS29" s="221">
        <v>80.023484172438401</v>
      </c>
      <c r="DT29" s="222"/>
      <c r="DU29" s="222"/>
      <c r="DV29" s="221">
        <v>647.0555031876097</v>
      </c>
      <c r="DW29" s="222"/>
      <c r="DX29" s="222"/>
      <c r="DY29" s="221">
        <v>593.59016438441495</v>
      </c>
      <c r="DZ29" s="111"/>
      <c r="EA29" s="111"/>
      <c r="EB29" s="221">
        <v>563.1467182778963</v>
      </c>
      <c r="EC29" s="221"/>
      <c r="ED29" s="221"/>
      <c r="EE29" s="221">
        <v>510.46639310840715</v>
      </c>
      <c r="EF29" s="221"/>
      <c r="EG29" s="221"/>
      <c r="EH29" s="221">
        <v>85.768956695739789</v>
      </c>
      <c r="EI29" s="221"/>
      <c r="EJ29" s="221"/>
      <c r="EK29" s="221">
        <v>85.768956695739789</v>
      </c>
      <c r="EL29" s="222"/>
      <c r="EM29" s="222"/>
      <c r="EN29" s="221">
        <v>648.98103874390506</v>
      </c>
      <c r="EO29" s="222"/>
      <c r="EP29" s="222"/>
      <c r="EQ29" s="221">
        <v>596.17810647996964</v>
      </c>
      <c r="ER29" s="111"/>
      <c r="ES29" s="111"/>
      <c r="ET29" s="111"/>
      <c r="EU29" s="221">
        <v>566.9627226572984</v>
      </c>
      <c r="EV29" s="221"/>
      <c r="EW29" s="221"/>
      <c r="EX29" s="221">
        <v>514.65621146744866</v>
      </c>
      <c r="EY29" s="221"/>
      <c r="EZ29" s="221"/>
      <c r="FA29" s="221">
        <v>83.970953856377903</v>
      </c>
      <c r="FB29" s="221"/>
      <c r="FC29" s="221"/>
      <c r="FD29" s="221">
        <v>83.970954642719065</v>
      </c>
      <c r="FE29" s="222"/>
      <c r="FF29" s="222"/>
      <c r="FG29" s="221">
        <v>651.59708805290086</v>
      </c>
      <c r="FH29" s="222"/>
      <c r="FI29" s="222"/>
      <c r="FJ29" s="221">
        <v>599.68537238312376</v>
      </c>
      <c r="FK29" s="111"/>
      <c r="FM29" s="411"/>
      <c r="FN29" s="411"/>
    </row>
    <row r="30" spans="3:170" ht="12.75" customHeight="1">
      <c r="C30" s="27" t="s">
        <v>563</v>
      </c>
      <c r="D30" s="219"/>
      <c r="E30" s="221">
        <v>718.79904577598245</v>
      </c>
      <c r="F30" s="221"/>
      <c r="G30" s="221"/>
      <c r="H30" s="221">
        <v>638.77773563996914</v>
      </c>
      <c r="I30" s="221"/>
      <c r="J30" s="221"/>
      <c r="K30" s="221">
        <v>31.781085437134632</v>
      </c>
      <c r="L30" s="221"/>
      <c r="M30" s="221"/>
      <c r="N30" s="221">
        <v>31.781085437134632</v>
      </c>
      <c r="O30" s="222"/>
      <c r="P30" s="222"/>
      <c r="Q30" s="221">
        <v>750.58013121311706</v>
      </c>
      <c r="R30" s="222"/>
      <c r="S30" s="222"/>
      <c r="T30" s="221">
        <v>670.55882107710374</v>
      </c>
      <c r="U30" s="111"/>
      <c r="V30" s="111"/>
      <c r="W30" s="221">
        <v>714.72546250625078</v>
      </c>
      <c r="X30" s="221"/>
      <c r="Y30" s="221"/>
      <c r="Z30" s="221">
        <v>640.70306822836255</v>
      </c>
      <c r="AA30" s="221"/>
      <c r="AB30" s="221"/>
      <c r="AC30" s="221">
        <v>31.806060789703512</v>
      </c>
      <c r="AD30" s="221"/>
      <c r="AE30" s="221"/>
      <c r="AF30" s="221">
        <v>31.806060789703512</v>
      </c>
      <c r="AG30" s="222"/>
      <c r="AH30" s="222"/>
      <c r="AI30" s="221">
        <v>746.53152329595434</v>
      </c>
      <c r="AJ30" s="222"/>
      <c r="AK30" s="222"/>
      <c r="AL30" s="221">
        <v>672.50912901806612</v>
      </c>
      <c r="AM30" s="111"/>
      <c r="AN30" s="111"/>
      <c r="AO30" s="221">
        <v>718.93375698644661</v>
      </c>
      <c r="AP30" s="221"/>
      <c r="AQ30" s="221"/>
      <c r="AR30" s="221">
        <v>642.74772916315226</v>
      </c>
      <c r="AS30" s="221"/>
      <c r="AT30" s="221"/>
      <c r="AU30" s="221">
        <v>31.658767742837068</v>
      </c>
      <c r="AV30" s="221"/>
      <c r="AW30" s="221"/>
      <c r="AX30" s="221">
        <v>31.658767742837068</v>
      </c>
      <c r="AY30" s="222"/>
      <c r="AZ30" s="222"/>
      <c r="BA30" s="221">
        <v>750.5925247292837</v>
      </c>
      <c r="BB30" s="222"/>
      <c r="BC30" s="222"/>
      <c r="BD30" s="221">
        <v>674.40649690598934</v>
      </c>
      <c r="BE30" s="111"/>
      <c r="BF30" s="111"/>
      <c r="BG30" s="221">
        <v>698.58319935865381</v>
      </c>
      <c r="BH30" s="221"/>
      <c r="BI30" s="221"/>
      <c r="BJ30" s="221">
        <v>619.20464253793102</v>
      </c>
      <c r="BK30" s="221"/>
      <c r="BL30" s="221"/>
      <c r="BM30" s="221">
        <v>43.486178942612852</v>
      </c>
      <c r="BN30" s="221"/>
      <c r="BO30" s="221"/>
      <c r="BP30" s="221">
        <v>43.486178942612852</v>
      </c>
      <c r="BQ30" s="222"/>
      <c r="BR30" s="222"/>
      <c r="BS30" s="221">
        <v>742.06937830126662</v>
      </c>
      <c r="BT30" s="222"/>
      <c r="BU30" s="222"/>
      <c r="BV30" s="221">
        <v>662.69082148054383</v>
      </c>
      <c r="BW30" s="111"/>
      <c r="BX30" s="111"/>
      <c r="BY30" s="221">
        <v>697.64754971406467</v>
      </c>
      <c r="BZ30" s="221"/>
      <c r="CA30" s="221"/>
      <c r="CB30" s="221">
        <v>618.64704955135505</v>
      </c>
      <c r="CC30" s="221"/>
      <c r="CD30" s="221"/>
      <c r="CE30" s="221">
        <v>43.518061665376095</v>
      </c>
      <c r="CF30" s="221"/>
      <c r="CG30" s="221"/>
      <c r="CH30" s="221">
        <v>43.518061665376095</v>
      </c>
      <c r="CI30" s="222"/>
      <c r="CJ30" s="222"/>
      <c r="CK30" s="221">
        <v>741.16561137944075</v>
      </c>
      <c r="CL30" s="222"/>
      <c r="CM30" s="222"/>
      <c r="CN30" s="221">
        <v>662.16511121673113</v>
      </c>
      <c r="CO30" s="111"/>
      <c r="CP30" s="219"/>
      <c r="CQ30" s="111"/>
      <c r="CR30" s="221">
        <v>697.88067582185488</v>
      </c>
      <c r="CS30" s="221"/>
      <c r="CT30" s="221"/>
      <c r="CU30" s="221">
        <v>618.80701795348114</v>
      </c>
      <c r="CV30" s="221"/>
      <c r="CW30" s="221"/>
      <c r="CX30" s="221">
        <v>43.744367469894208</v>
      </c>
      <c r="CY30" s="221"/>
      <c r="CZ30" s="221"/>
      <c r="DA30" s="221">
        <v>43.744367469894208</v>
      </c>
      <c r="DB30" s="222"/>
      <c r="DC30" s="222"/>
      <c r="DD30" s="221">
        <v>741.62504329174908</v>
      </c>
      <c r="DE30" s="222"/>
      <c r="DF30" s="222"/>
      <c r="DG30" s="221">
        <v>662.55138542337534</v>
      </c>
      <c r="DH30" s="111"/>
      <c r="DI30" s="111"/>
      <c r="DJ30" s="221">
        <v>695.15306455681264</v>
      </c>
      <c r="DK30" s="221"/>
      <c r="DL30" s="221"/>
      <c r="DM30" s="221">
        <v>617.27095290116961</v>
      </c>
      <c r="DN30" s="221"/>
      <c r="DO30" s="221"/>
      <c r="DP30" s="221">
        <v>43.786368778913271</v>
      </c>
      <c r="DQ30" s="221"/>
      <c r="DR30" s="221"/>
      <c r="DS30" s="221">
        <v>43.786368778913271</v>
      </c>
      <c r="DT30" s="222"/>
      <c r="DU30" s="222"/>
      <c r="DV30" s="221">
        <v>738.93943333572588</v>
      </c>
      <c r="DW30" s="222"/>
      <c r="DX30" s="222"/>
      <c r="DY30" s="221">
        <v>661.05732168008285</v>
      </c>
      <c r="DZ30" s="111"/>
      <c r="EA30" s="111"/>
      <c r="EB30" s="221">
        <v>707.02576251017399</v>
      </c>
      <c r="EC30" s="221"/>
      <c r="ED30" s="221"/>
      <c r="EE30" s="221">
        <v>629.06879901260822</v>
      </c>
      <c r="EF30" s="221"/>
      <c r="EG30" s="221"/>
      <c r="EH30" s="221">
        <v>40.000281370989974</v>
      </c>
      <c r="EI30" s="221"/>
      <c r="EJ30" s="221"/>
      <c r="EK30" s="221">
        <v>40.000281370989974</v>
      </c>
      <c r="EL30" s="222"/>
      <c r="EM30" s="222"/>
      <c r="EN30" s="221">
        <v>747.20635644648701</v>
      </c>
      <c r="EO30" s="222"/>
      <c r="EP30" s="222"/>
      <c r="EQ30" s="221">
        <v>668.95456594889561</v>
      </c>
      <c r="ER30" s="111"/>
      <c r="ES30" s="111"/>
      <c r="ET30" s="111"/>
      <c r="EU30" s="221">
        <v>691.36287098583364</v>
      </c>
      <c r="EV30" s="221"/>
      <c r="EW30" s="221"/>
      <c r="EX30" s="221">
        <v>617.3441576836143</v>
      </c>
      <c r="EY30" s="221"/>
      <c r="EZ30" s="221"/>
      <c r="FA30" s="221">
        <v>48.64394575470552</v>
      </c>
      <c r="FB30" s="221"/>
      <c r="FC30" s="221"/>
      <c r="FD30" s="221">
        <v>48.643946210228947</v>
      </c>
      <c r="FE30" s="222"/>
      <c r="FF30" s="222"/>
      <c r="FG30" s="221">
        <v>741.56120122964035</v>
      </c>
      <c r="FH30" s="222"/>
      <c r="FI30" s="222"/>
      <c r="FJ30" s="221">
        <v>667.87736383085144</v>
      </c>
      <c r="FK30" s="111"/>
      <c r="FM30" s="411"/>
      <c r="FN30" s="411"/>
    </row>
    <row r="31" spans="3:170" s="87" customFormat="1" ht="12.75" customHeight="1">
      <c r="C31" s="27" t="s">
        <v>564</v>
      </c>
      <c r="D31" s="219"/>
      <c r="E31" s="221">
        <v>779.00925558001029</v>
      </c>
      <c r="F31" s="221"/>
      <c r="G31" s="221"/>
      <c r="H31" s="221">
        <v>342.33178867616192</v>
      </c>
      <c r="I31" s="221"/>
      <c r="J31" s="221"/>
      <c r="K31" s="221">
        <v>15.461467432902246</v>
      </c>
      <c r="L31" s="221"/>
      <c r="M31" s="221"/>
      <c r="N31" s="221">
        <v>15.461467432902246</v>
      </c>
      <c r="O31" s="222"/>
      <c r="P31" s="222"/>
      <c r="Q31" s="221">
        <v>794.47072301291257</v>
      </c>
      <c r="R31" s="222"/>
      <c r="S31" s="222"/>
      <c r="T31" s="221">
        <v>357.79325610906415</v>
      </c>
      <c r="U31" s="163"/>
      <c r="V31" s="163"/>
      <c r="W31" s="221">
        <v>770.90186534315433</v>
      </c>
      <c r="X31" s="221"/>
      <c r="Y31" s="221"/>
      <c r="Z31" s="221">
        <v>343.41226087142218</v>
      </c>
      <c r="AA31" s="221"/>
      <c r="AB31" s="221"/>
      <c r="AC31" s="221">
        <v>15.473617917854463</v>
      </c>
      <c r="AD31" s="221"/>
      <c r="AE31" s="221"/>
      <c r="AF31" s="221">
        <v>15.473617917854463</v>
      </c>
      <c r="AG31" s="222"/>
      <c r="AH31" s="222"/>
      <c r="AI31" s="221">
        <v>786.37548326100875</v>
      </c>
      <c r="AJ31" s="222"/>
      <c r="AK31" s="222"/>
      <c r="AL31" s="221">
        <v>358.88587878927666</v>
      </c>
      <c r="AM31" s="163"/>
      <c r="AN31" s="163"/>
      <c r="AO31" s="221">
        <v>782.00950614508099</v>
      </c>
      <c r="AP31" s="221"/>
      <c r="AQ31" s="221"/>
      <c r="AR31" s="221">
        <v>345.4329717925051</v>
      </c>
      <c r="AS31" s="221"/>
      <c r="AT31" s="221"/>
      <c r="AU31" s="221">
        <v>15.401959992522643</v>
      </c>
      <c r="AV31" s="221"/>
      <c r="AW31" s="221"/>
      <c r="AX31" s="221">
        <v>15.401959992522643</v>
      </c>
      <c r="AY31" s="222"/>
      <c r="AZ31" s="222"/>
      <c r="BA31" s="221">
        <v>797.41146613760361</v>
      </c>
      <c r="BB31" s="222"/>
      <c r="BC31" s="222"/>
      <c r="BD31" s="221">
        <v>360.83493178502772</v>
      </c>
      <c r="BE31" s="163"/>
      <c r="BF31" s="163"/>
      <c r="BG31" s="221">
        <v>777.81921173443141</v>
      </c>
      <c r="BH31" s="221"/>
      <c r="BI31" s="221"/>
      <c r="BJ31" s="221">
        <v>340.71967841603561</v>
      </c>
      <c r="BK31" s="221"/>
      <c r="BL31" s="221"/>
      <c r="BM31" s="221">
        <v>17.250084750528785</v>
      </c>
      <c r="BN31" s="221"/>
      <c r="BO31" s="221"/>
      <c r="BP31" s="221">
        <v>17.250084750528785</v>
      </c>
      <c r="BQ31" s="222"/>
      <c r="BR31" s="222"/>
      <c r="BS31" s="221">
        <v>795.0692964849602</v>
      </c>
      <c r="BT31" s="222"/>
      <c r="BU31" s="222"/>
      <c r="BV31" s="221">
        <v>357.96976316656441</v>
      </c>
      <c r="BW31" s="163"/>
      <c r="BX31" s="163"/>
      <c r="BY31" s="221">
        <v>777.34309577521685</v>
      </c>
      <c r="BZ31" s="221"/>
      <c r="CA31" s="221"/>
      <c r="CB31" s="221">
        <v>340.69194998408938</v>
      </c>
      <c r="CC31" s="221"/>
      <c r="CD31" s="221"/>
      <c r="CE31" s="221">
        <v>17.160549521902126</v>
      </c>
      <c r="CF31" s="221"/>
      <c r="CG31" s="221"/>
      <c r="CH31" s="221">
        <v>17.160549521902126</v>
      </c>
      <c r="CI31" s="222"/>
      <c r="CJ31" s="222"/>
      <c r="CK31" s="221">
        <v>794.50364529711896</v>
      </c>
      <c r="CL31" s="222"/>
      <c r="CM31" s="222"/>
      <c r="CN31" s="221">
        <v>357.85249950599149</v>
      </c>
      <c r="CO31" s="163"/>
      <c r="CP31" s="219"/>
      <c r="CQ31" s="163"/>
      <c r="CR31" s="221">
        <v>777.52580605426544</v>
      </c>
      <c r="CS31" s="221"/>
      <c r="CT31" s="221"/>
      <c r="CU31" s="221">
        <v>340.74907401597324</v>
      </c>
      <c r="CV31" s="221"/>
      <c r="CW31" s="221"/>
      <c r="CX31" s="221">
        <v>17.249789065597536</v>
      </c>
      <c r="CY31" s="221"/>
      <c r="CZ31" s="221"/>
      <c r="DA31" s="221">
        <v>17.249789065597536</v>
      </c>
      <c r="DB31" s="222"/>
      <c r="DC31" s="222"/>
      <c r="DD31" s="221">
        <v>794.77559511986294</v>
      </c>
      <c r="DE31" s="222"/>
      <c r="DF31" s="222"/>
      <c r="DG31" s="221">
        <v>357.99886308157079</v>
      </c>
      <c r="DH31" s="163"/>
      <c r="DI31" s="163"/>
      <c r="DJ31" s="221">
        <v>774.62791549293229</v>
      </c>
      <c r="DK31" s="221"/>
      <c r="DL31" s="221"/>
      <c r="DM31" s="221">
        <v>339.72691159946106</v>
      </c>
      <c r="DN31" s="221"/>
      <c r="DO31" s="221"/>
      <c r="DP31" s="221">
        <v>17.266351511529727</v>
      </c>
      <c r="DQ31" s="221"/>
      <c r="DR31" s="221"/>
      <c r="DS31" s="221">
        <v>17.266351511529727</v>
      </c>
      <c r="DT31" s="222"/>
      <c r="DU31" s="222"/>
      <c r="DV31" s="221">
        <v>791.89426700446199</v>
      </c>
      <c r="DW31" s="222"/>
      <c r="DX31" s="222"/>
      <c r="DY31" s="221">
        <v>356.99326311099077</v>
      </c>
      <c r="DZ31" s="163"/>
      <c r="EA31" s="163"/>
      <c r="EB31" s="221">
        <v>769.1965976782443</v>
      </c>
      <c r="EC31" s="221"/>
      <c r="ED31" s="221"/>
      <c r="EE31" s="221">
        <v>337.86536609191558</v>
      </c>
      <c r="EF31" s="221"/>
      <c r="EG31" s="221"/>
      <c r="EH31" s="221">
        <v>16.467362579852768</v>
      </c>
      <c r="EI31" s="221"/>
      <c r="EJ31" s="221"/>
      <c r="EK31" s="221">
        <v>16.467362579852768</v>
      </c>
      <c r="EL31" s="222"/>
      <c r="EM31" s="222"/>
      <c r="EN31" s="221">
        <v>785.89939514645346</v>
      </c>
      <c r="EO31" s="222"/>
      <c r="EP31" s="222"/>
      <c r="EQ31" s="221">
        <v>354.2678668707004</v>
      </c>
      <c r="ER31" s="163"/>
      <c r="ES31" s="163"/>
      <c r="ET31" s="163"/>
      <c r="EU31" s="221">
        <v>769.21640302893672</v>
      </c>
      <c r="EV31" s="221"/>
      <c r="EW31" s="221"/>
      <c r="EX31" s="221">
        <v>340.02755798238388</v>
      </c>
      <c r="EY31" s="221"/>
      <c r="EZ31" s="221"/>
      <c r="FA31" s="221">
        <v>17.605122041035038</v>
      </c>
      <c r="FB31" s="221"/>
      <c r="FC31" s="221"/>
      <c r="FD31" s="221">
        <v>17.605122205897192</v>
      </c>
      <c r="FE31" s="222"/>
      <c r="FF31" s="222"/>
      <c r="FG31" s="221">
        <v>789.05734815752521</v>
      </c>
      <c r="FH31" s="222"/>
      <c r="FI31" s="222"/>
      <c r="FJ31" s="221">
        <v>358.78262410650149</v>
      </c>
      <c r="FK31" s="163"/>
      <c r="FM31" s="411"/>
      <c r="FN31" s="411"/>
    </row>
    <row r="32" spans="3:170" ht="12.75" customHeight="1">
      <c r="C32" s="27" t="s">
        <v>565</v>
      </c>
      <c r="D32" s="219"/>
      <c r="E32" s="221">
        <v>818.21936564800228</v>
      </c>
      <c r="F32" s="221"/>
      <c r="G32" s="221"/>
      <c r="H32" s="221">
        <v>411.94991804308552</v>
      </c>
      <c r="I32" s="221"/>
      <c r="J32" s="221"/>
      <c r="K32" s="221">
        <v>11.890684570957939</v>
      </c>
      <c r="L32" s="221"/>
      <c r="M32" s="221"/>
      <c r="N32" s="221">
        <v>11.890684570957939</v>
      </c>
      <c r="O32" s="222"/>
      <c r="P32" s="222"/>
      <c r="Q32" s="221">
        <v>830.11005021896017</v>
      </c>
      <c r="R32" s="222"/>
      <c r="S32" s="222"/>
      <c r="T32" s="221">
        <v>423.84060261404346</v>
      </c>
      <c r="U32" s="111"/>
      <c r="V32" s="111"/>
      <c r="W32" s="221">
        <v>813.2556927196905</v>
      </c>
      <c r="X32" s="221"/>
      <c r="Y32" s="221"/>
      <c r="Z32" s="221">
        <v>412.90916695340081</v>
      </c>
      <c r="AA32" s="221"/>
      <c r="AB32" s="221"/>
      <c r="AC32" s="221">
        <v>11.900028935235001</v>
      </c>
      <c r="AD32" s="221"/>
      <c r="AE32" s="221"/>
      <c r="AF32" s="221">
        <v>11.900028935235001</v>
      </c>
      <c r="AG32" s="222"/>
      <c r="AH32" s="222"/>
      <c r="AI32" s="221">
        <v>825.15572165492551</v>
      </c>
      <c r="AJ32" s="222"/>
      <c r="AK32" s="222"/>
      <c r="AL32" s="221">
        <v>424.80919588863583</v>
      </c>
      <c r="AM32" s="111"/>
      <c r="AN32" s="111"/>
      <c r="AO32" s="221">
        <v>812.10416895044398</v>
      </c>
      <c r="AP32" s="221"/>
      <c r="AQ32" s="221"/>
      <c r="AR32" s="221">
        <v>415.19368165311971</v>
      </c>
      <c r="AS32" s="221"/>
      <c r="AT32" s="221"/>
      <c r="AU32" s="221">
        <v>11.844920208276994</v>
      </c>
      <c r="AV32" s="221"/>
      <c r="AW32" s="221"/>
      <c r="AX32" s="221">
        <v>11.844920208276994</v>
      </c>
      <c r="AY32" s="222"/>
      <c r="AZ32" s="222"/>
      <c r="BA32" s="221">
        <v>823.94908915872099</v>
      </c>
      <c r="BB32" s="222"/>
      <c r="BC32" s="222"/>
      <c r="BD32" s="221">
        <v>427.03860186139673</v>
      </c>
      <c r="BE32" s="111"/>
      <c r="BF32" s="111"/>
      <c r="BG32" s="221">
        <v>807.75261627329928</v>
      </c>
      <c r="BH32" s="221"/>
      <c r="BI32" s="221"/>
      <c r="BJ32" s="221">
        <v>409.47950816112638</v>
      </c>
      <c r="BK32" s="221"/>
      <c r="BL32" s="221"/>
      <c r="BM32" s="221">
        <v>13.266225698237466</v>
      </c>
      <c r="BN32" s="221"/>
      <c r="BO32" s="221"/>
      <c r="BP32" s="221">
        <v>13.266225698237466</v>
      </c>
      <c r="BQ32" s="222"/>
      <c r="BR32" s="222"/>
      <c r="BS32" s="221">
        <v>821.01884197153674</v>
      </c>
      <c r="BT32" s="222"/>
      <c r="BU32" s="222"/>
      <c r="BV32" s="221">
        <v>422.74573385936384</v>
      </c>
      <c r="BW32" s="111"/>
      <c r="BX32" s="111"/>
      <c r="BY32" s="221">
        <v>807.12216811883513</v>
      </c>
      <c r="BZ32" s="221"/>
      <c r="CA32" s="221"/>
      <c r="CB32" s="221">
        <v>409.31013002842457</v>
      </c>
      <c r="CC32" s="221"/>
      <c r="CD32" s="221"/>
      <c r="CE32" s="221">
        <v>13.197368381413666</v>
      </c>
      <c r="CF32" s="221"/>
      <c r="CG32" s="221"/>
      <c r="CH32" s="221">
        <v>13.197368381413666</v>
      </c>
      <c r="CI32" s="222"/>
      <c r="CJ32" s="222"/>
      <c r="CK32" s="221">
        <v>820.31953650024877</v>
      </c>
      <c r="CL32" s="222"/>
      <c r="CM32" s="222"/>
      <c r="CN32" s="221">
        <v>422.50749840983821</v>
      </c>
      <c r="CO32" s="111"/>
      <c r="CP32" s="219"/>
      <c r="CQ32" s="111"/>
      <c r="CR32" s="221">
        <v>807.63855128192233</v>
      </c>
      <c r="CS32" s="221"/>
      <c r="CT32" s="221"/>
      <c r="CU32" s="221">
        <v>409.70151297807729</v>
      </c>
      <c r="CV32" s="221"/>
      <c r="CW32" s="221"/>
      <c r="CX32" s="221">
        <v>13.265998300917961</v>
      </c>
      <c r="CY32" s="221"/>
      <c r="CZ32" s="221"/>
      <c r="DA32" s="221">
        <v>13.265998300917961</v>
      </c>
      <c r="DB32" s="222"/>
      <c r="DC32" s="222"/>
      <c r="DD32" s="221">
        <v>820.90454958284033</v>
      </c>
      <c r="DE32" s="222"/>
      <c r="DF32" s="222"/>
      <c r="DG32" s="221">
        <v>422.96751127899523</v>
      </c>
      <c r="DH32" s="111"/>
      <c r="DI32" s="111"/>
      <c r="DJ32" s="221">
        <v>805.04997438429052</v>
      </c>
      <c r="DK32" s="221"/>
      <c r="DL32" s="221"/>
      <c r="DM32" s="221">
        <v>408.74241773377975</v>
      </c>
      <c r="DN32" s="221"/>
      <c r="DO32" s="221"/>
      <c r="DP32" s="221">
        <v>13.278735696068701</v>
      </c>
      <c r="DQ32" s="221"/>
      <c r="DR32" s="221"/>
      <c r="DS32" s="221">
        <v>13.278735696068701</v>
      </c>
      <c r="DT32" s="222"/>
      <c r="DU32" s="222"/>
      <c r="DV32" s="221">
        <v>818.3287100803592</v>
      </c>
      <c r="DW32" s="222"/>
      <c r="DX32" s="222"/>
      <c r="DY32" s="221">
        <v>422.02115342984843</v>
      </c>
      <c r="DZ32" s="111"/>
      <c r="EA32" s="111"/>
      <c r="EB32" s="221">
        <v>816.91830407915381</v>
      </c>
      <c r="EC32" s="221"/>
      <c r="ED32" s="221"/>
      <c r="EE32" s="221">
        <v>414.06152903369298</v>
      </c>
      <c r="EF32" s="221"/>
      <c r="EG32" s="221"/>
      <c r="EH32" s="221">
        <v>8.6076090972141106</v>
      </c>
      <c r="EI32" s="221"/>
      <c r="EJ32" s="221"/>
      <c r="EK32" s="221">
        <v>8.6076090972141106</v>
      </c>
      <c r="EL32" s="222"/>
      <c r="EM32" s="222"/>
      <c r="EN32" s="221">
        <v>825.78884716998607</v>
      </c>
      <c r="EO32" s="222"/>
      <c r="EP32" s="222"/>
      <c r="EQ32" s="221">
        <v>422.5819022999666</v>
      </c>
      <c r="ER32" s="111"/>
      <c r="ES32" s="111"/>
      <c r="ET32" s="111"/>
      <c r="EU32" s="221">
        <v>811.27050332368754</v>
      </c>
      <c r="EV32" s="221"/>
      <c r="EW32" s="221"/>
      <c r="EX32" s="221">
        <v>409.13931003413478</v>
      </c>
      <c r="EY32" s="221"/>
      <c r="EZ32" s="221"/>
      <c r="FA32" s="221">
        <v>14.791109777315082</v>
      </c>
      <c r="FB32" s="221"/>
      <c r="FC32" s="221"/>
      <c r="FD32" s="221">
        <v>14.791109915825579</v>
      </c>
      <c r="FE32" s="222"/>
      <c r="FF32" s="222"/>
      <c r="FG32" s="221">
        <v>828.47204319754678</v>
      </c>
      <c r="FH32" s="222"/>
      <c r="FI32" s="222"/>
      <c r="FJ32" s="221">
        <v>425.39017990932308</v>
      </c>
      <c r="FK32" s="111"/>
      <c r="FM32" s="411"/>
      <c r="FN32" s="411"/>
    </row>
    <row r="33" spans="2:170" ht="12.75" customHeight="1">
      <c r="C33" s="27" t="s">
        <v>566</v>
      </c>
      <c r="D33" s="219"/>
      <c r="E33" s="221">
        <v>1147.2125465119459</v>
      </c>
      <c r="F33" s="221"/>
      <c r="G33" s="221"/>
      <c r="H33" s="221">
        <v>813.30019860611469</v>
      </c>
      <c r="I33" s="221"/>
      <c r="J33" s="221"/>
      <c r="K33" s="223" t="s">
        <v>553</v>
      </c>
      <c r="L33" s="221"/>
      <c r="M33" s="221"/>
      <c r="N33" s="223" t="s">
        <v>553</v>
      </c>
      <c r="O33" s="222"/>
      <c r="P33" s="222"/>
      <c r="Q33" s="221">
        <v>1147.2125465119459</v>
      </c>
      <c r="R33" s="222"/>
      <c r="S33" s="222"/>
      <c r="T33" s="221">
        <v>813.30019860611469</v>
      </c>
      <c r="U33" s="111"/>
      <c r="V33" s="111"/>
      <c r="W33" s="221">
        <v>1141.7441329579638</v>
      </c>
      <c r="X33" s="221"/>
      <c r="Y33" s="221"/>
      <c r="Z33" s="221">
        <v>817.06250046763205</v>
      </c>
      <c r="AA33" s="221"/>
      <c r="AB33" s="221"/>
      <c r="AC33" s="223" t="s">
        <v>553</v>
      </c>
      <c r="AD33" s="221"/>
      <c r="AE33" s="221"/>
      <c r="AF33" s="223" t="s">
        <v>553</v>
      </c>
      <c r="AG33" s="222"/>
      <c r="AH33" s="222"/>
      <c r="AI33" s="223">
        <v>1141.7441329579638</v>
      </c>
      <c r="AJ33" s="221"/>
      <c r="AK33" s="221"/>
      <c r="AL33" s="223">
        <v>817.06250046763205</v>
      </c>
      <c r="AM33" s="111"/>
      <c r="AN33" s="111"/>
      <c r="AO33" s="221">
        <v>1148.1295456429466</v>
      </c>
      <c r="AP33" s="221"/>
      <c r="AQ33" s="221"/>
      <c r="AR33" s="221">
        <v>822.99464686969031</v>
      </c>
      <c r="AS33" s="111"/>
      <c r="AT33" s="221"/>
      <c r="AU33" s="223" t="s">
        <v>553</v>
      </c>
      <c r="AV33" s="221"/>
      <c r="AW33" s="221"/>
      <c r="AX33" s="223" t="s">
        <v>553</v>
      </c>
      <c r="AY33" s="222"/>
      <c r="AZ33" s="222"/>
      <c r="BA33" s="223">
        <v>1148.1295456429466</v>
      </c>
      <c r="BB33" s="221"/>
      <c r="BC33" s="221"/>
      <c r="BD33" s="223">
        <v>822.99464686969031</v>
      </c>
      <c r="BE33" s="111"/>
      <c r="BF33" s="111"/>
      <c r="BG33" s="221">
        <v>1134.9146310004385</v>
      </c>
      <c r="BH33" s="221"/>
      <c r="BI33" s="221"/>
      <c r="BJ33" s="221">
        <v>808.01979333226609</v>
      </c>
      <c r="BK33" s="111"/>
      <c r="BL33" s="221"/>
      <c r="BM33" s="223" t="s">
        <v>553</v>
      </c>
      <c r="BN33" s="221"/>
      <c r="BO33" s="221"/>
      <c r="BP33" s="223" t="s">
        <v>553</v>
      </c>
      <c r="BQ33" s="222"/>
      <c r="BR33" s="222"/>
      <c r="BS33" s="223">
        <v>1134.9146310004385</v>
      </c>
      <c r="BT33" s="221"/>
      <c r="BU33" s="221"/>
      <c r="BV33" s="223">
        <v>808.01979333226609</v>
      </c>
      <c r="BW33" s="111"/>
      <c r="BX33" s="111"/>
      <c r="BY33" s="221">
        <v>1130.3386609496552</v>
      </c>
      <c r="BZ33" s="221"/>
      <c r="CA33" s="221"/>
      <c r="CB33" s="221">
        <v>805.42157668876018</v>
      </c>
      <c r="CC33" s="111"/>
      <c r="CD33" s="221"/>
      <c r="CE33" s="223" t="s">
        <v>553</v>
      </c>
      <c r="CF33" s="221"/>
      <c r="CG33" s="221"/>
      <c r="CH33" s="223" t="s">
        <v>553</v>
      </c>
      <c r="CI33" s="222"/>
      <c r="CJ33" s="222"/>
      <c r="CK33" s="223">
        <v>1130.3386609496552</v>
      </c>
      <c r="CL33" s="221"/>
      <c r="CM33" s="221"/>
      <c r="CN33" s="223">
        <v>805.42157668876018</v>
      </c>
      <c r="CO33" s="111"/>
      <c r="CP33" s="219"/>
      <c r="CQ33" s="111"/>
      <c r="CR33" s="221">
        <v>1131.3495621887321</v>
      </c>
      <c r="CS33" s="221"/>
      <c r="CT33" s="221"/>
      <c r="CU33" s="221">
        <v>805.14997926294359</v>
      </c>
      <c r="CV33" s="111"/>
      <c r="CW33" s="221"/>
      <c r="CX33" s="223" t="s">
        <v>553</v>
      </c>
      <c r="CY33" s="221"/>
      <c r="CZ33" s="221"/>
      <c r="DA33" s="223" t="s">
        <v>553</v>
      </c>
      <c r="DB33" s="222"/>
      <c r="DC33" s="222"/>
      <c r="DD33" s="223">
        <v>1131.3495621887321</v>
      </c>
      <c r="DE33" s="221"/>
      <c r="DF33" s="221"/>
      <c r="DG33" s="223">
        <v>805.14997926294359</v>
      </c>
      <c r="DH33" s="111"/>
      <c r="DI33" s="111"/>
      <c r="DJ33" s="221">
        <v>1139.7035843750928</v>
      </c>
      <c r="DK33" s="221"/>
      <c r="DL33" s="221"/>
      <c r="DM33" s="221">
        <v>809.69393384547379</v>
      </c>
      <c r="DN33" s="111"/>
      <c r="DO33" s="221"/>
      <c r="DP33" s="223" t="s">
        <v>553</v>
      </c>
      <c r="DQ33" s="221"/>
      <c r="DR33" s="221"/>
      <c r="DS33" s="223" t="s">
        <v>553</v>
      </c>
      <c r="DT33" s="222"/>
      <c r="DU33" s="222"/>
      <c r="DV33" s="223">
        <v>1139.7035843750928</v>
      </c>
      <c r="DW33" s="221"/>
      <c r="DX33" s="221"/>
      <c r="DY33" s="223">
        <v>809.69393384547379</v>
      </c>
      <c r="DZ33" s="111"/>
      <c r="EA33" s="111"/>
      <c r="EB33" s="221">
        <v>1130.7575259578471</v>
      </c>
      <c r="EC33" s="221"/>
      <c r="ED33" s="221"/>
      <c r="EE33" s="221">
        <v>801.53500285767325</v>
      </c>
      <c r="EF33" s="111"/>
      <c r="EG33" s="221"/>
      <c r="EH33" s="223" t="s">
        <v>553</v>
      </c>
      <c r="EI33" s="221"/>
      <c r="EJ33" s="221"/>
      <c r="EK33" s="223" t="s">
        <v>553</v>
      </c>
      <c r="EL33" s="222"/>
      <c r="EM33" s="222"/>
      <c r="EN33" s="223">
        <v>1131.1387678248695</v>
      </c>
      <c r="EO33" s="221"/>
      <c r="EP33" s="221"/>
      <c r="EQ33" s="223">
        <v>801.35498050042531</v>
      </c>
      <c r="ER33" s="111"/>
      <c r="ES33" s="111"/>
      <c r="ET33" s="111"/>
      <c r="EU33" s="221">
        <v>1143.0127410493067</v>
      </c>
      <c r="EV33" s="221"/>
      <c r="EW33" s="221"/>
      <c r="EX33" s="221">
        <v>812.73572223793599</v>
      </c>
      <c r="EY33" s="111"/>
      <c r="EZ33" s="221"/>
      <c r="FA33" s="223">
        <v>0</v>
      </c>
      <c r="FB33" s="221"/>
      <c r="FC33" s="221"/>
      <c r="FD33" s="223">
        <v>0</v>
      </c>
      <c r="FE33" s="222"/>
      <c r="FF33" s="222"/>
      <c r="FG33" s="223">
        <v>1146.6978322940322</v>
      </c>
      <c r="FH33" s="221"/>
      <c r="FI33" s="221"/>
      <c r="FJ33" s="223">
        <v>815.98519013458701</v>
      </c>
      <c r="FK33" s="111"/>
      <c r="FM33" s="411"/>
      <c r="FN33" s="411"/>
    </row>
    <row r="34" spans="2:170" ht="6" customHeight="1">
      <c r="C34" s="27"/>
      <c r="D34" s="52"/>
      <c r="E34" s="221"/>
      <c r="F34" s="221"/>
      <c r="G34" s="221"/>
      <c r="H34" s="221"/>
      <c r="I34" s="221"/>
      <c r="J34" s="221"/>
      <c r="K34" s="221"/>
      <c r="L34" s="221"/>
      <c r="M34" s="221"/>
      <c r="N34" s="221"/>
      <c r="O34" s="222"/>
      <c r="P34" s="222"/>
      <c r="Q34" s="221"/>
      <c r="R34" s="222"/>
      <c r="S34" s="222"/>
      <c r="T34" s="221"/>
      <c r="U34" s="111"/>
      <c r="V34" s="111"/>
      <c r="W34" s="221"/>
      <c r="X34" s="221"/>
      <c r="Y34" s="221"/>
      <c r="Z34" s="221"/>
      <c r="AA34" s="221"/>
      <c r="AB34" s="221"/>
      <c r="AC34" s="221"/>
      <c r="AD34" s="221"/>
      <c r="AE34" s="221"/>
      <c r="AF34" s="221"/>
      <c r="AG34" s="222"/>
      <c r="AH34" s="222"/>
      <c r="AI34" s="221"/>
      <c r="AJ34" s="222"/>
      <c r="AK34" s="222"/>
      <c r="AL34" s="221"/>
      <c r="AM34" s="111"/>
      <c r="AN34" s="111"/>
      <c r="AO34" s="221"/>
      <c r="AP34" s="221"/>
      <c r="AQ34" s="221"/>
      <c r="AR34" s="221"/>
      <c r="AS34" s="221"/>
      <c r="AT34" s="221"/>
      <c r="AU34" s="221"/>
      <c r="AV34" s="221"/>
      <c r="AW34" s="221"/>
      <c r="AX34" s="221"/>
      <c r="AY34" s="222"/>
      <c r="AZ34" s="222"/>
      <c r="BA34" s="221"/>
      <c r="BB34" s="222"/>
      <c r="BC34" s="222"/>
      <c r="BD34" s="221"/>
      <c r="BE34" s="111"/>
      <c r="BF34" s="111"/>
      <c r="BG34" s="221"/>
      <c r="BH34" s="221"/>
      <c r="BI34" s="221"/>
      <c r="BJ34" s="221"/>
      <c r="BK34" s="221"/>
      <c r="BL34" s="221"/>
      <c r="BM34" s="221"/>
      <c r="BN34" s="221"/>
      <c r="BO34" s="221"/>
      <c r="BP34" s="221"/>
      <c r="BQ34" s="222"/>
      <c r="BR34" s="222"/>
      <c r="BS34" s="221"/>
      <c r="BT34" s="222"/>
      <c r="BU34" s="222"/>
      <c r="BV34" s="221"/>
      <c r="BW34" s="111"/>
      <c r="BX34" s="111"/>
      <c r="BY34" s="221"/>
      <c r="BZ34" s="221"/>
      <c r="CA34" s="221"/>
      <c r="CB34" s="221"/>
      <c r="CC34" s="221"/>
      <c r="CD34" s="221"/>
      <c r="CE34" s="221"/>
      <c r="CF34" s="221"/>
      <c r="CG34" s="221"/>
      <c r="CH34" s="221"/>
      <c r="CI34" s="222"/>
      <c r="CJ34" s="222"/>
      <c r="CK34" s="221"/>
      <c r="CL34" s="222"/>
      <c r="CM34" s="222"/>
      <c r="CN34" s="221"/>
      <c r="CO34" s="111"/>
      <c r="CP34" s="52"/>
      <c r="CQ34" s="111"/>
      <c r="CR34" s="221"/>
      <c r="CS34" s="221"/>
      <c r="CT34" s="221"/>
      <c r="CU34" s="221"/>
      <c r="CV34" s="221"/>
      <c r="CW34" s="221"/>
      <c r="CX34" s="221"/>
      <c r="CY34" s="221"/>
      <c r="CZ34" s="221"/>
      <c r="DA34" s="221"/>
      <c r="DB34" s="222"/>
      <c r="DC34" s="222"/>
      <c r="DD34" s="221"/>
      <c r="DE34" s="222"/>
      <c r="DF34" s="222"/>
      <c r="DG34" s="221"/>
      <c r="DH34" s="111"/>
      <c r="DI34" s="111"/>
      <c r="DJ34" s="221"/>
      <c r="DK34" s="221"/>
      <c r="DL34" s="221"/>
      <c r="DM34" s="221"/>
      <c r="DN34" s="221"/>
      <c r="DO34" s="221"/>
      <c r="DP34" s="221"/>
      <c r="DQ34" s="221"/>
      <c r="DR34" s="221"/>
      <c r="DS34" s="221"/>
      <c r="DT34" s="222"/>
      <c r="DU34" s="222"/>
      <c r="DV34" s="221"/>
      <c r="DW34" s="222"/>
      <c r="DX34" s="222"/>
      <c r="DY34" s="221"/>
      <c r="DZ34" s="111"/>
      <c r="EA34" s="111"/>
      <c r="EB34" s="221"/>
      <c r="EC34" s="221"/>
      <c r="ED34" s="221"/>
      <c r="EE34" s="221"/>
      <c r="EF34" s="221"/>
      <c r="EG34" s="221"/>
      <c r="EH34" s="221"/>
      <c r="EI34" s="221"/>
      <c r="EJ34" s="221"/>
      <c r="EK34" s="221"/>
      <c r="EL34" s="222"/>
      <c r="EM34" s="222"/>
      <c r="EN34" s="221"/>
      <c r="EO34" s="222"/>
      <c r="EP34" s="222"/>
      <c r="EQ34" s="221"/>
      <c r="ER34" s="111"/>
      <c r="ES34" s="111"/>
      <c r="ET34" s="111"/>
      <c r="EU34" s="221"/>
      <c r="EV34" s="221"/>
      <c r="EW34" s="221"/>
      <c r="EX34" s="221"/>
      <c r="EY34" s="221"/>
      <c r="EZ34" s="221"/>
      <c r="FA34" s="221"/>
      <c r="FB34" s="221"/>
      <c r="FC34" s="221"/>
      <c r="FD34" s="221"/>
      <c r="FE34" s="222"/>
      <c r="FF34" s="222"/>
      <c r="FG34" s="221"/>
      <c r="FH34" s="222"/>
      <c r="FI34" s="222"/>
      <c r="FJ34" s="221"/>
      <c r="FK34" s="111"/>
      <c r="FM34" s="411"/>
      <c r="FN34" s="411"/>
    </row>
    <row r="35" spans="2:170" ht="12.75" customHeight="1">
      <c r="C35" s="69" t="s">
        <v>68</v>
      </c>
      <c r="D35" s="52"/>
      <c r="E35" s="226">
        <v>9009.6</v>
      </c>
      <c r="F35" s="227"/>
      <c r="G35" s="227"/>
      <c r="H35" s="226">
        <v>6266.5999999999985</v>
      </c>
      <c r="I35" s="227"/>
      <c r="J35" s="227"/>
      <c r="K35" s="226">
        <v>1947.6000000000001</v>
      </c>
      <c r="L35" s="227"/>
      <c r="M35" s="227"/>
      <c r="N35" s="226">
        <v>1947.6000000000001</v>
      </c>
      <c r="O35" s="227"/>
      <c r="P35" s="227"/>
      <c r="Q35" s="226">
        <v>10957.2</v>
      </c>
      <c r="R35" s="228"/>
      <c r="S35" s="228"/>
      <c r="T35" s="226">
        <v>8214.1999999999989</v>
      </c>
      <c r="U35" s="111"/>
      <c r="V35" s="111"/>
      <c r="W35" s="226">
        <v>8931.5999999999985</v>
      </c>
      <c r="X35" s="227"/>
      <c r="Y35" s="227"/>
      <c r="Z35" s="226">
        <v>6282.6000000000013</v>
      </c>
      <c r="AA35" s="227"/>
      <c r="AB35" s="227"/>
      <c r="AC35" s="226">
        <v>1949.6</v>
      </c>
      <c r="AD35" s="227"/>
      <c r="AE35" s="227"/>
      <c r="AF35" s="226">
        <v>1949.6</v>
      </c>
      <c r="AG35" s="227"/>
      <c r="AH35" s="227"/>
      <c r="AI35" s="226">
        <v>10881.199999999999</v>
      </c>
      <c r="AJ35" s="228"/>
      <c r="AK35" s="228"/>
      <c r="AL35" s="226">
        <v>8232.2000000000007</v>
      </c>
      <c r="AM35" s="111"/>
      <c r="AN35" s="111"/>
      <c r="AO35" s="226">
        <v>8944.6</v>
      </c>
      <c r="AP35" s="227"/>
      <c r="AQ35" s="227"/>
      <c r="AR35" s="226">
        <v>6271.5999999999995</v>
      </c>
      <c r="AS35" s="227"/>
      <c r="AT35" s="227"/>
      <c r="AU35" s="226">
        <v>1963.6000000000001</v>
      </c>
      <c r="AV35" s="227"/>
      <c r="AW35" s="227"/>
      <c r="AX35" s="226">
        <v>1963.6000000000001</v>
      </c>
      <c r="AY35" s="227"/>
      <c r="AZ35" s="227"/>
      <c r="BA35" s="226">
        <v>10908.199999999999</v>
      </c>
      <c r="BB35" s="228"/>
      <c r="BC35" s="228"/>
      <c r="BD35" s="226">
        <v>8235.1999999999971</v>
      </c>
      <c r="BE35" s="111"/>
      <c r="BF35" s="111"/>
      <c r="BG35" s="226">
        <v>8872.3999999999978</v>
      </c>
      <c r="BH35" s="227"/>
      <c r="BI35" s="227"/>
      <c r="BJ35" s="226">
        <v>6174.4</v>
      </c>
      <c r="BK35" s="227"/>
      <c r="BL35" s="227"/>
      <c r="BM35" s="226">
        <v>2009.3460000000005</v>
      </c>
      <c r="BN35" s="227"/>
      <c r="BO35" s="227"/>
      <c r="BP35" s="226">
        <v>2009.3460000000005</v>
      </c>
      <c r="BQ35" s="227"/>
      <c r="BR35" s="227"/>
      <c r="BS35" s="226">
        <v>10881.745999999997</v>
      </c>
      <c r="BT35" s="228"/>
      <c r="BU35" s="228"/>
      <c r="BV35" s="226">
        <v>8183.7459999999992</v>
      </c>
      <c r="BW35" s="111"/>
      <c r="BX35" s="111"/>
      <c r="BY35" s="226">
        <v>8837.4</v>
      </c>
      <c r="BZ35" s="227"/>
      <c r="CA35" s="227"/>
      <c r="CB35" s="226">
        <v>6152.4</v>
      </c>
      <c r="CC35" s="227"/>
      <c r="CD35" s="227"/>
      <c r="CE35" s="226">
        <v>2036.346</v>
      </c>
      <c r="CF35" s="227"/>
      <c r="CG35" s="227"/>
      <c r="CH35" s="226">
        <v>2036.346</v>
      </c>
      <c r="CI35" s="227"/>
      <c r="CJ35" s="227"/>
      <c r="CK35" s="226">
        <v>10873.745999999999</v>
      </c>
      <c r="CL35" s="228"/>
      <c r="CM35" s="228"/>
      <c r="CN35" s="226">
        <v>8188.7459999999992</v>
      </c>
      <c r="CO35" s="111"/>
      <c r="CP35" s="52"/>
      <c r="CQ35" s="111"/>
      <c r="CR35" s="226">
        <v>8859.6999999999989</v>
      </c>
      <c r="CS35" s="227"/>
      <c r="CT35" s="227"/>
      <c r="CU35" s="226">
        <v>6170.7</v>
      </c>
      <c r="CV35" s="227"/>
      <c r="CW35" s="227"/>
      <c r="CX35" s="226">
        <v>2046.0459999999996</v>
      </c>
      <c r="CY35" s="227"/>
      <c r="CZ35" s="227"/>
      <c r="DA35" s="226">
        <v>2046.0459999999996</v>
      </c>
      <c r="DB35" s="227"/>
      <c r="DC35" s="227"/>
      <c r="DD35" s="226">
        <v>10905.745999999997</v>
      </c>
      <c r="DE35" s="228"/>
      <c r="DF35" s="228"/>
      <c r="DG35" s="226">
        <v>8216.7459999999992</v>
      </c>
      <c r="DH35" s="111"/>
      <c r="DI35" s="111"/>
      <c r="DJ35" s="226">
        <v>8849.9599999999991</v>
      </c>
      <c r="DK35" s="227"/>
      <c r="DL35" s="227"/>
      <c r="DM35" s="226">
        <v>6135.7</v>
      </c>
      <c r="DN35" s="227"/>
      <c r="DO35" s="227"/>
      <c r="DP35" s="226">
        <v>2049.0459999999998</v>
      </c>
      <c r="DQ35" s="227"/>
      <c r="DR35" s="227"/>
      <c r="DS35" s="226">
        <v>2049.0459999999998</v>
      </c>
      <c r="DT35" s="227"/>
      <c r="DU35" s="227"/>
      <c r="DV35" s="226">
        <v>10899.005999999999</v>
      </c>
      <c r="DW35" s="228"/>
      <c r="DX35" s="228"/>
      <c r="DY35" s="226">
        <v>8184.746000000001</v>
      </c>
      <c r="DZ35" s="111"/>
      <c r="EA35" s="111"/>
      <c r="EB35" s="226">
        <v>8853.18</v>
      </c>
      <c r="EC35" s="227"/>
      <c r="ED35" s="227"/>
      <c r="EE35" s="226">
        <v>6127.7</v>
      </c>
      <c r="EF35" s="227"/>
      <c r="EG35" s="227"/>
      <c r="EH35" s="226">
        <v>2056.2460000000001</v>
      </c>
      <c r="EI35" s="227"/>
      <c r="EJ35" s="227"/>
      <c r="EK35" s="226">
        <v>2056.2460000000001</v>
      </c>
      <c r="EL35" s="227"/>
      <c r="EM35" s="227"/>
      <c r="EN35" s="226">
        <v>10909.426000000001</v>
      </c>
      <c r="EO35" s="228"/>
      <c r="EP35" s="228"/>
      <c r="EQ35" s="226">
        <v>8183.9459999999999</v>
      </c>
      <c r="ER35" s="111"/>
      <c r="ES35" s="111"/>
      <c r="ET35" s="111"/>
      <c r="EU35" s="226">
        <v>8853.77</v>
      </c>
      <c r="EV35" s="227"/>
      <c r="EW35" s="227"/>
      <c r="EX35" s="226">
        <v>6127.8</v>
      </c>
      <c r="EY35" s="227"/>
      <c r="EZ35" s="227"/>
      <c r="FA35" s="226">
        <v>2058.3559999999998</v>
      </c>
      <c r="FB35" s="227"/>
      <c r="FC35" s="227"/>
      <c r="FD35" s="226">
        <v>2058.3559999999998</v>
      </c>
      <c r="FE35" s="227"/>
      <c r="FF35" s="227"/>
      <c r="FG35" s="226">
        <v>10912.126</v>
      </c>
      <c r="FH35" s="228"/>
      <c r="FI35" s="228"/>
      <c r="FJ35" s="226">
        <v>8186.1559999999999</v>
      </c>
      <c r="FK35" s="111"/>
      <c r="FM35" s="411"/>
      <c r="FN35" s="411"/>
    </row>
    <row r="36" spans="2:170" ht="6.6" customHeight="1">
      <c r="B36" s="13"/>
      <c r="C36" s="13"/>
      <c r="D36" s="13"/>
      <c r="E36" s="13"/>
      <c r="F36" s="13"/>
      <c r="G36" s="13"/>
      <c r="H36" s="13"/>
      <c r="I36" s="13"/>
      <c r="J36" s="13"/>
      <c r="K36" s="13"/>
      <c r="L36" s="13"/>
      <c r="M36" s="13"/>
      <c r="N36" s="13"/>
      <c r="O36" s="13"/>
      <c r="P36" s="13"/>
      <c r="Q36" s="13"/>
      <c r="R36" s="13"/>
      <c r="S36" s="13"/>
      <c r="T36" s="13"/>
      <c r="U36" s="13"/>
      <c r="W36" s="13"/>
      <c r="X36" s="13"/>
      <c r="Y36" s="13"/>
      <c r="Z36" s="13"/>
      <c r="AA36" s="13"/>
      <c r="AB36" s="13"/>
      <c r="AC36" s="13"/>
      <c r="AD36" s="13"/>
      <c r="AE36" s="13"/>
      <c r="AF36" s="13"/>
      <c r="AG36" s="13"/>
      <c r="AH36" s="13"/>
      <c r="AI36" s="13"/>
      <c r="AJ36" s="13"/>
      <c r="AK36" s="13"/>
      <c r="AL36" s="13"/>
      <c r="AM36" s="13"/>
      <c r="AO36" s="13"/>
      <c r="AP36" s="13"/>
      <c r="AQ36" s="13"/>
      <c r="AR36" s="13"/>
      <c r="AS36" s="13"/>
      <c r="AT36" s="13"/>
      <c r="AU36" s="13"/>
      <c r="AV36" s="13"/>
      <c r="AW36" s="13"/>
      <c r="AX36" s="13"/>
      <c r="AY36" s="13"/>
      <c r="AZ36" s="13"/>
      <c r="BA36" s="13"/>
      <c r="BB36" s="13"/>
      <c r="BC36" s="13"/>
      <c r="BD36" s="13"/>
      <c r="BE36" s="13"/>
      <c r="BG36" s="13"/>
      <c r="BH36" s="13"/>
      <c r="BI36" s="13"/>
      <c r="BJ36" s="13"/>
      <c r="BK36" s="13"/>
      <c r="BL36" s="13"/>
      <c r="BM36" s="13"/>
      <c r="BN36" s="13"/>
      <c r="BO36" s="13"/>
      <c r="BP36" s="13"/>
      <c r="BQ36" s="13"/>
      <c r="BR36" s="13"/>
      <c r="BS36" s="13"/>
      <c r="BT36" s="13"/>
      <c r="BU36" s="13"/>
      <c r="BV36" s="13"/>
      <c r="BW36" s="13"/>
      <c r="BY36" s="13"/>
      <c r="BZ36" s="13"/>
      <c r="CA36" s="13"/>
      <c r="CB36" s="13"/>
      <c r="CC36" s="13"/>
      <c r="CD36" s="13"/>
      <c r="CE36" s="13"/>
      <c r="CF36" s="13"/>
      <c r="CG36" s="13"/>
      <c r="CH36" s="13"/>
      <c r="CI36" s="13"/>
      <c r="CJ36" s="13"/>
      <c r="CK36" s="13"/>
      <c r="CL36" s="13"/>
      <c r="CM36" s="13"/>
      <c r="CN36" s="13"/>
      <c r="CO36" s="13"/>
      <c r="CP36" s="13"/>
      <c r="CR36" s="13"/>
      <c r="CS36" s="13"/>
      <c r="CT36" s="13"/>
      <c r="CU36" s="13"/>
      <c r="CV36" s="13"/>
      <c r="CW36" s="13"/>
      <c r="CX36" s="13"/>
      <c r="CY36" s="13"/>
      <c r="CZ36" s="13"/>
      <c r="DA36" s="13"/>
      <c r="DB36" s="13"/>
      <c r="DC36" s="13"/>
      <c r="DD36" s="13"/>
      <c r="DE36" s="13"/>
      <c r="DF36" s="13"/>
      <c r="DG36" s="13"/>
      <c r="DH36" s="13"/>
      <c r="DJ36" s="13"/>
      <c r="DK36" s="13"/>
      <c r="DL36" s="13"/>
      <c r="DM36" s="13"/>
      <c r="DN36" s="13"/>
      <c r="DO36" s="13"/>
      <c r="DP36" s="13"/>
      <c r="DQ36" s="13"/>
      <c r="DR36" s="13"/>
      <c r="DS36" s="13"/>
      <c r="DT36" s="13"/>
      <c r="DU36" s="13"/>
      <c r="DV36" s="13"/>
      <c r="DW36" s="13"/>
      <c r="DX36" s="13"/>
      <c r="DY36" s="13"/>
      <c r="DZ36" s="13"/>
      <c r="EB36" s="13"/>
      <c r="EC36" s="13"/>
      <c r="ED36" s="13"/>
      <c r="EE36" s="13"/>
      <c r="EF36" s="13"/>
      <c r="EG36" s="13"/>
      <c r="EH36" s="13"/>
      <c r="EI36" s="13"/>
      <c r="EJ36" s="13"/>
      <c r="EK36" s="13"/>
      <c r="EL36" s="13"/>
      <c r="EM36" s="13"/>
      <c r="EN36" s="13"/>
      <c r="EO36" s="13"/>
      <c r="EP36" s="13"/>
      <c r="EQ36" s="13"/>
      <c r="ER36" s="13"/>
      <c r="ES36" s="13"/>
      <c r="EU36" s="13"/>
      <c r="EV36" s="13"/>
      <c r="EW36" s="13"/>
      <c r="EX36" s="13"/>
      <c r="EY36" s="13"/>
      <c r="EZ36" s="13"/>
      <c r="FA36" s="13"/>
      <c r="FB36" s="13"/>
      <c r="FC36" s="13"/>
      <c r="FD36" s="13"/>
      <c r="FE36" s="13"/>
      <c r="FF36" s="13"/>
      <c r="FG36" s="13"/>
      <c r="FH36" s="13"/>
      <c r="FI36" s="13"/>
      <c r="FJ36" s="13"/>
      <c r="FK36" s="13"/>
      <c r="FM36" s="411"/>
    </row>
    <row r="37" spans="2:170" ht="14.25" customHeight="1">
      <c r="B37" s="474" t="s">
        <v>567</v>
      </c>
      <c r="C37" s="474"/>
      <c r="D37" s="96"/>
      <c r="E37" s="514" t="s">
        <v>81</v>
      </c>
      <c r="F37" s="514"/>
      <c r="G37" s="514"/>
      <c r="H37" s="514"/>
      <c r="I37" s="514"/>
      <c r="J37" s="514"/>
      <c r="K37" s="514"/>
      <c r="L37" s="514"/>
      <c r="M37" s="514"/>
      <c r="N37" s="514"/>
      <c r="O37" s="514"/>
      <c r="P37" s="514"/>
      <c r="Q37" s="514"/>
      <c r="R37" s="514"/>
      <c r="S37" s="514"/>
      <c r="T37" s="514"/>
      <c r="U37" s="514"/>
      <c r="V37" s="42"/>
      <c r="W37" s="514" t="s">
        <v>81</v>
      </c>
      <c r="X37" s="514"/>
      <c r="Y37" s="514"/>
      <c r="Z37" s="514"/>
      <c r="AA37" s="514"/>
      <c r="AB37" s="514"/>
      <c r="AC37" s="514"/>
      <c r="AD37" s="514"/>
      <c r="AE37" s="514"/>
      <c r="AF37" s="514"/>
      <c r="AG37" s="514"/>
      <c r="AH37" s="514"/>
      <c r="AI37" s="514"/>
      <c r="AJ37" s="514"/>
      <c r="AK37" s="514"/>
      <c r="AL37" s="514"/>
      <c r="AM37" s="514"/>
      <c r="AN37" s="42"/>
      <c r="AO37" s="514" t="s">
        <v>81</v>
      </c>
      <c r="AP37" s="514"/>
      <c r="AQ37" s="514"/>
      <c r="AR37" s="514"/>
      <c r="AS37" s="514"/>
      <c r="AT37" s="514"/>
      <c r="AU37" s="514"/>
      <c r="AV37" s="514"/>
      <c r="AW37" s="514"/>
      <c r="AX37" s="514"/>
      <c r="AY37" s="514"/>
      <c r="AZ37" s="514"/>
      <c r="BA37" s="514"/>
      <c r="BB37" s="514"/>
      <c r="BC37" s="514"/>
      <c r="BD37" s="514"/>
      <c r="BE37" s="514"/>
      <c r="BF37" s="42"/>
      <c r="BG37" s="514" t="s">
        <v>81</v>
      </c>
      <c r="BH37" s="514"/>
      <c r="BI37" s="514"/>
      <c r="BJ37" s="514"/>
      <c r="BK37" s="514"/>
      <c r="BL37" s="514"/>
      <c r="BM37" s="514"/>
      <c r="BN37" s="514"/>
      <c r="BO37" s="514"/>
      <c r="BP37" s="514"/>
      <c r="BQ37" s="514"/>
      <c r="BR37" s="514"/>
      <c r="BS37" s="514"/>
      <c r="BT37" s="514"/>
      <c r="BU37" s="514"/>
      <c r="BV37" s="514"/>
      <c r="BW37" s="514"/>
      <c r="BX37" s="42"/>
      <c r="BY37" s="514" t="s">
        <v>81</v>
      </c>
      <c r="BZ37" s="514"/>
      <c r="CA37" s="514"/>
      <c r="CB37" s="514"/>
      <c r="CC37" s="514"/>
      <c r="CD37" s="514"/>
      <c r="CE37" s="514"/>
      <c r="CF37" s="514"/>
      <c r="CG37" s="514"/>
      <c r="CH37" s="514"/>
      <c r="CI37" s="514"/>
      <c r="CJ37" s="514"/>
      <c r="CK37" s="514"/>
      <c r="CL37" s="514"/>
      <c r="CM37" s="514"/>
      <c r="CN37" s="514"/>
      <c r="CO37" s="514"/>
      <c r="CP37" s="96"/>
      <c r="CQ37" s="42"/>
      <c r="CR37" s="514" t="s">
        <v>81</v>
      </c>
      <c r="CS37" s="514"/>
      <c r="CT37" s="514"/>
      <c r="CU37" s="514"/>
      <c r="CV37" s="514"/>
      <c r="CW37" s="514"/>
      <c r="CX37" s="514"/>
      <c r="CY37" s="514"/>
      <c r="CZ37" s="514"/>
      <c r="DA37" s="514"/>
      <c r="DB37" s="514"/>
      <c r="DC37" s="514"/>
      <c r="DD37" s="514"/>
      <c r="DE37" s="514"/>
      <c r="DF37" s="514"/>
      <c r="DG37" s="514"/>
      <c r="DH37" s="514"/>
      <c r="DI37" s="42"/>
      <c r="DJ37" s="514" t="s">
        <v>81</v>
      </c>
      <c r="DK37" s="514"/>
      <c r="DL37" s="514"/>
      <c r="DM37" s="514"/>
      <c r="DN37" s="514"/>
      <c r="DO37" s="514"/>
      <c r="DP37" s="514"/>
      <c r="DQ37" s="514"/>
      <c r="DR37" s="514"/>
      <c r="DS37" s="514"/>
      <c r="DT37" s="514"/>
      <c r="DU37" s="514"/>
      <c r="DV37" s="514"/>
      <c r="DW37" s="514"/>
      <c r="DX37" s="514"/>
      <c r="DY37" s="514"/>
      <c r="DZ37" s="514"/>
      <c r="EA37" s="42"/>
      <c r="EB37" s="514" t="s">
        <v>81</v>
      </c>
      <c r="EC37" s="514"/>
      <c r="ED37" s="514"/>
      <c r="EE37" s="514"/>
      <c r="EF37" s="514"/>
      <c r="EG37" s="514"/>
      <c r="EH37" s="514"/>
      <c r="EI37" s="514"/>
      <c r="EJ37" s="514"/>
      <c r="EK37" s="514"/>
      <c r="EL37" s="514"/>
      <c r="EM37" s="514"/>
      <c r="EN37" s="514"/>
      <c r="EO37" s="514"/>
      <c r="EP37" s="514"/>
      <c r="EQ37" s="514"/>
      <c r="ER37" s="514"/>
      <c r="ET37" s="42"/>
      <c r="EU37" s="514" t="s">
        <v>81</v>
      </c>
      <c r="EV37" s="514"/>
      <c r="EW37" s="514"/>
      <c r="EX37" s="514"/>
      <c r="EY37" s="514"/>
      <c r="EZ37" s="514"/>
      <c r="FA37" s="514"/>
      <c r="FB37" s="514"/>
      <c r="FC37" s="514"/>
      <c r="FD37" s="514"/>
      <c r="FE37" s="514"/>
      <c r="FF37" s="514"/>
      <c r="FG37" s="514"/>
      <c r="FH37" s="514"/>
      <c r="FI37" s="514"/>
      <c r="FJ37" s="514"/>
      <c r="FK37" s="514"/>
    </row>
    <row r="38" spans="2:170" ht="48" customHeight="1">
      <c r="B38" s="474"/>
      <c r="C38" s="474"/>
      <c r="D38" s="96"/>
      <c r="E38" s="495" t="s">
        <v>227</v>
      </c>
      <c r="F38" s="495"/>
      <c r="G38" s="154"/>
      <c r="H38" s="495" t="s">
        <v>89</v>
      </c>
      <c r="I38" s="495"/>
      <c r="J38" s="154"/>
      <c r="K38" s="495" t="s">
        <v>90</v>
      </c>
      <c r="L38" s="495"/>
      <c r="M38" s="154"/>
      <c r="N38" s="495" t="s">
        <v>89</v>
      </c>
      <c r="O38" s="495"/>
      <c r="P38" s="154"/>
      <c r="Q38" s="495" t="s">
        <v>84</v>
      </c>
      <c r="R38" s="495"/>
      <c r="S38" s="190"/>
      <c r="T38" s="466" t="s">
        <v>89</v>
      </c>
      <c r="U38" s="501"/>
      <c r="V38" s="183"/>
      <c r="W38" s="495" t="s">
        <v>227</v>
      </c>
      <c r="X38" s="495"/>
      <c r="Y38" s="154"/>
      <c r="Z38" s="495" t="s">
        <v>89</v>
      </c>
      <c r="AA38" s="495"/>
      <c r="AB38" s="154"/>
      <c r="AC38" s="495" t="s">
        <v>90</v>
      </c>
      <c r="AD38" s="495"/>
      <c r="AE38" s="154"/>
      <c r="AF38" s="495" t="s">
        <v>89</v>
      </c>
      <c r="AG38" s="495"/>
      <c r="AH38" s="154"/>
      <c r="AI38" s="495" t="s">
        <v>84</v>
      </c>
      <c r="AJ38" s="495"/>
      <c r="AK38" s="190"/>
      <c r="AL38" s="466" t="s">
        <v>89</v>
      </c>
      <c r="AM38" s="501"/>
      <c r="AN38" s="183"/>
      <c r="AO38" s="495" t="s">
        <v>227</v>
      </c>
      <c r="AP38" s="495"/>
      <c r="AQ38" s="154"/>
      <c r="AR38" s="495" t="s">
        <v>89</v>
      </c>
      <c r="AS38" s="495"/>
      <c r="AT38" s="154"/>
      <c r="AU38" s="495" t="s">
        <v>90</v>
      </c>
      <c r="AV38" s="495"/>
      <c r="AW38" s="154"/>
      <c r="AX38" s="495" t="s">
        <v>89</v>
      </c>
      <c r="AY38" s="495"/>
      <c r="AZ38" s="154"/>
      <c r="BA38" s="495" t="s">
        <v>84</v>
      </c>
      <c r="BB38" s="495"/>
      <c r="BC38" s="190"/>
      <c r="BD38" s="466" t="s">
        <v>89</v>
      </c>
      <c r="BE38" s="501"/>
      <c r="BF38" s="183"/>
      <c r="BG38" s="495" t="s">
        <v>227</v>
      </c>
      <c r="BH38" s="495"/>
      <c r="BI38" s="154"/>
      <c r="BJ38" s="495" t="s">
        <v>764</v>
      </c>
      <c r="BK38" s="495"/>
      <c r="BL38" s="154"/>
      <c r="BM38" s="495" t="s">
        <v>90</v>
      </c>
      <c r="BN38" s="495"/>
      <c r="BO38" s="154"/>
      <c r="BP38" s="495" t="s">
        <v>764</v>
      </c>
      <c r="BQ38" s="495"/>
      <c r="BR38" s="154"/>
      <c r="BS38" s="495" t="s">
        <v>84</v>
      </c>
      <c r="BT38" s="495"/>
      <c r="BU38" s="190"/>
      <c r="BV38" s="495" t="s">
        <v>764</v>
      </c>
      <c r="BW38" s="495"/>
      <c r="BX38" s="183"/>
      <c r="BY38" s="495" t="s">
        <v>227</v>
      </c>
      <c r="BZ38" s="495"/>
      <c r="CA38" s="154"/>
      <c r="CB38" s="495" t="s">
        <v>764</v>
      </c>
      <c r="CC38" s="495"/>
      <c r="CD38" s="154"/>
      <c r="CE38" s="495" t="s">
        <v>90</v>
      </c>
      <c r="CF38" s="495"/>
      <c r="CG38" s="154"/>
      <c r="CH38" s="495" t="s">
        <v>764</v>
      </c>
      <c r="CI38" s="495"/>
      <c r="CJ38" s="154"/>
      <c r="CK38" s="495" t="s">
        <v>84</v>
      </c>
      <c r="CL38" s="495"/>
      <c r="CM38" s="190"/>
      <c r="CN38" s="495" t="s">
        <v>764</v>
      </c>
      <c r="CO38" s="495"/>
      <c r="CP38" s="96"/>
      <c r="CQ38" s="183"/>
      <c r="CR38" s="495" t="s">
        <v>227</v>
      </c>
      <c r="CS38" s="495"/>
      <c r="CT38" s="154"/>
      <c r="CU38" s="495" t="s">
        <v>764</v>
      </c>
      <c r="CV38" s="495"/>
      <c r="CW38" s="154"/>
      <c r="CX38" s="495" t="s">
        <v>90</v>
      </c>
      <c r="CY38" s="495"/>
      <c r="CZ38" s="154"/>
      <c r="DA38" s="495" t="s">
        <v>764</v>
      </c>
      <c r="DB38" s="495"/>
      <c r="DC38" s="154"/>
      <c r="DD38" s="495" t="s">
        <v>84</v>
      </c>
      <c r="DE38" s="495"/>
      <c r="DF38" s="190"/>
      <c r="DG38" s="495" t="s">
        <v>764</v>
      </c>
      <c r="DH38" s="495"/>
      <c r="DI38" s="183"/>
      <c r="DJ38" s="495" t="s">
        <v>227</v>
      </c>
      <c r="DK38" s="495"/>
      <c r="DL38" s="154"/>
      <c r="DM38" s="495" t="s">
        <v>764</v>
      </c>
      <c r="DN38" s="495"/>
      <c r="DO38" s="154"/>
      <c r="DP38" s="495" t="s">
        <v>90</v>
      </c>
      <c r="DQ38" s="495"/>
      <c r="DR38" s="154"/>
      <c r="DS38" s="495" t="s">
        <v>764</v>
      </c>
      <c r="DT38" s="495"/>
      <c r="DU38" s="154"/>
      <c r="DV38" s="495" t="s">
        <v>84</v>
      </c>
      <c r="DW38" s="495"/>
      <c r="DX38" s="190"/>
      <c r="DY38" s="495" t="s">
        <v>764</v>
      </c>
      <c r="DZ38" s="495"/>
      <c r="EA38" s="183"/>
      <c r="EB38" s="495" t="s">
        <v>227</v>
      </c>
      <c r="EC38" s="495"/>
      <c r="ED38" s="154"/>
      <c r="EE38" s="495" t="s">
        <v>764</v>
      </c>
      <c r="EF38" s="495"/>
      <c r="EG38" s="154"/>
      <c r="EH38" s="495" t="s">
        <v>90</v>
      </c>
      <c r="EI38" s="495"/>
      <c r="EJ38" s="154"/>
      <c r="EK38" s="495" t="s">
        <v>764</v>
      </c>
      <c r="EL38" s="495"/>
      <c r="EM38" s="154"/>
      <c r="EN38" s="495" t="s">
        <v>84</v>
      </c>
      <c r="EO38" s="495"/>
      <c r="EP38" s="190"/>
      <c r="EQ38" s="495" t="s">
        <v>764</v>
      </c>
      <c r="ER38" s="495"/>
      <c r="ET38" s="183"/>
      <c r="EU38" s="495" t="s">
        <v>227</v>
      </c>
      <c r="EV38" s="495"/>
      <c r="EW38" s="154"/>
      <c r="EX38" s="495" t="s">
        <v>764</v>
      </c>
      <c r="EY38" s="495"/>
      <c r="EZ38" s="154"/>
      <c r="FA38" s="495" t="s">
        <v>90</v>
      </c>
      <c r="FB38" s="495"/>
      <c r="FC38" s="154"/>
      <c r="FD38" s="495" t="s">
        <v>764</v>
      </c>
      <c r="FE38" s="495"/>
      <c r="FF38" s="154"/>
      <c r="FG38" s="495" t="s">
        <v>84</v>
      </c>
      <c r="FH38" s="495"/>
      <c r="FI38" s="190"/>
      <c r="FJ38" s="495" t="s">
        <v>764</v>
      </c>
      <c r="FK38" s="495"/>
    </row>
    <row r="39" spans="2:170" ht="14.25" customHeight="1">
      <c r="B39" s="474"/>
      <c r="C39" s="474"/>
      <c r="D39" s="96"/>
      <c r="E39" s="514" t="s">
        <v>92</v>
      </c>
      <c r="F39" s="514"/>
      <c r="G39" s="514"/>
      <c r="H39" s="514"/>
      <c r="I39" s="514"/>
      <c r="J39" s="514"/>
      <c r="K39" s="514"/>
      <c r="L39" s="514"/>
      <c r="M39" s="514"/>
      <c r="N39" s="514"/>
      <c r="O39" s="514"/>
      <c r="P39" s="514"/>
      <c r="Q39" s="514"/>
      <c r="R39" s="514"/>
      <c r="S39" s="514"/>
      <c r="T39" s="514"/>
      <c r="U39" s="514"/>
      <c r="V39" s="42"/>
      <c r="W39" s="514" t="s">
        <v>92</v>
      </c>
      <c r="X39" s="514"/>
      <c r="Y39" s="514"/>
      <c r="Z39" s="514"/>
      <c r="AA39" s="514"/>
      <c r="AB39" s="514"/>
      <c r="AC39" s="514"/>
      <c r="AD39" s="514"/>
      <c r="AE39" s="514"/>
      <c r="AF39" s="514"/>
      <c r="AG39" s="514"/>
      <c r="AH39" s="514"/>
      <c r="AI39" s="514"/>
      <c r="AJ39" s="514"/>
      <c r="AK39" s="514"/>
      <c r="AL39" s="514"/>
      <c r="AM39" s="514"/>
      <c r="AN39" s="42"/>
      <c r="AO39" s="514" t="s">
        <v>92</v>
      </c>
      <c r="AP39" s="514"/>
      <c r="AQ39" s="514"/>
      <c r="AR39" s="514"/>
      <c r="AS39" s="514"/>
      <c r="AT39" s="514"/>
      <c r="AU39" s="514"/>
      <c r="AV39" s="514"/>
      <c r="AW39" s="514"/>
      <c r="AX39" s="514"/>
      <c r="AY39" s="514"/>
      <c r="AZ39" s="514"/>
      <c r="BA39" s="514"/>
      <c r="BB39" s="514"/>
      <c r="BC39" s="514"/>
      <c r="BD39" s="514"/>
      <c r="BE39" s="514"/>
      <c r="BF39" s="42"/>
      <c r="BG39" s="514" t="s">
        <v>92</v>
      </c>
      <c r="BH39" s="514"/>
      <c r="BI39" s="514"/>
      <c r="BJ39" s="514"/>
      <c r="BK39" s="514"/>
      <c r="BL39" s="514"/>
      <c r="BM39" s="514"/>
      <c r="BN39" s="514"/>
      <c r="BO39" s="514"/>
      <c r="BP39" s="514"/>
      <c r="BQ39" s="514"/>
      <c r="BR39" s="514"/>
      <c r="BS39" s="514"/>
      <c r="BT39" s="514"/>
      <c r="BU39" s="514"/>
      <c r="BV39" s="514"/>
      <c r="BW39" s="514"/>
      <c r="BX39" s="42"/>
      <c r="BY39" s="514" t="s">
        <v>92</v>
      </c>
      <c r="BZ39" s="514"/>
      <c r="CA39" s="514"/>
      <c r="CB39" s="514"/>
      <c r="CC39" s="514"/>
      <c r="CD39" s="514"/>
      <c r="CE39" s="514"/>
      <c r="CF39" s="514"/>
      <c r="CG39" s="514"/>
      <c r="CH39" s="514"/>
      <c r="CI39" s="514"/>
      <c r="CJ39" s="514"/>
      <c r="CK39" s="514"/>
      <c r="CL39" s="514"/>
      <c r="CM39" s="514"/>
      <c r="CN39" s="514"/>
      <c r="CO39" s="514"/>
      <c r="CP39" s="96"/>
      <c r="CQ39" s="42"/>
      <c r="CR39" s="514" t="s">
        <v>92</v>
      </c>
      <c r="CS39" s="514"/>
      <c r="CT39" s="514"/>
      <c r="CU39" s="514"/>
      <c r="CV39" s="514"/>
      <c r="CW39" s="514"/>
      <c r="CX39" s="514"/>
      <c r="CY39" s="514"/>
      <c r="CZ39" s="514"/>
      <c r="DA39" s="514"/>
      <c r="DB39" s="514"/>
      <c r="DC39" s="514"/>
      <c r="DD39" s="514"/>
      <c r="DE39" s="514"/>
      <c r="DF39" s="514"/>
      <c r="DG39" s="514"/>
      <c r="DH39" s="514"/>
      <c r="DI39" s="42"/>
      <c r="DJ39" s="514" t="s">
        <v>92</v>
      </c>
      <c r="DK39" s="514"/>
      <c r="DL39" s="514"/>
      <c r="DM39" s="514"/>
      <c r="DN39" s="514"/>
      <c r="DO39" s="514"/>
      <c r="DP39" s="514"/>
      <c r="DQ39" s="514"/>
      <c r="DR39" s="514"/>
      <c r="DS39" s="514"/>
      <c r="DT39" s="514"/>
      <c r="DU39" s="514"/>
      <c r="DV39" s="514"/>
      <c r="DW39" s="514"/>
      <c r="DX39" s="514"/>
      <c r="DY39" s="514"/>
      <c r="DZ39" s="514"/>
      <c r="EA39" s="42"/>
      <c r="EB39" s="514" t="s">
        <v>92</v>
      </c>
      <c r="EC39" s="514"/>
      <c r="ED39" s="514"/>
      <c r="EE39" s="514"/>
      <c r="EF39" s="514"/>
      <c r="EG39" s="514"/>
      <c r="EH39" s="514"/>
      <c r="EI39" s="514"/>
      <c r="EJ39" s="514"/>
      <c r="EK39" s="514"/>
      <c r="EL39" s="514"/>
      <c r="EM39" s="514"/>
      <c r="EN39" s="514"/>
      <c r="EO39" s="514"/>
      <c r="EP39" s="514"/>
      <c r="EQ39" s="514"/>
      <c r="ER39" s="514"/>
      <c r="ET39" s="42"/>
      <c r="EU39" s="514" t="s">
        <v>92</v>
      </c>
      <c r="EV39" s="514"/>
      <c r="EW39" s="514"/>
      <c r="EX39" s="514"/>
      <c r="EY39" s="514"/>
      <c r="EZ39" s="514"/>
      <c r="FA39" s="514"/>
      <c r="FB39" s="514"/>
      <c r="FC39" s="514"/>
      <c r="FD39" s="514"/>
      <c r="FE39" s="514"/>
      <c r="FF39" s="514"/>
      <c r="FG39" s="514"/>
      <c r="FH39" s="514"/>
      <c r="FI39" s="514"/>
      <c r="FJ39" s="514"/>
      <c r="FK39" s="514"/>
    </row>
    <row r="40" spans="2:170" ht="27" customHeight="1"/>
    <row r="41" spans="2:170" ht="15" customHeight="1">
      <c r="C41" s="53"/>
      <c r="L41" s="52"/>
      <c r="M41" s="52"/>
      <c r="N41" s="16"/>
      <c r="O41" s="16"/>
      <c r="P41" s="16"/>
      <c r="Q41" s="16"/>
      <c r="R41" s="16"/>
      <c r="S41" s="16"/>
      <c r="T41" s="16"/>
      <c r="U41" s="16"/>
      <c r="V41" s="16"/>
      <c r="AD41" s="52"/>
      <c r="AE41" s="52"/>
      <c r="AF41" s="16"/>
      <c r="AG41" s="16"/>
      <c r="AH41" s="16"/>
      <c r="AI41" s="16"/>
      <c r="AJ41" s="16"/>
      <c r="AK41" s="16"/>
      <c r="AL41" s="16"/>
      <c r="AM41" s="16"/>
      <c r="AN41" s="16"/>
      <c r="AV41" s="52"/>
      <c r="AW41" s="52"/>
      <c r="AX41" s="16"/>
      <c r="AY41" s="16"/>
      <c r="AZ41" s="16"/>
      <c r="BA41" s="16"/>
      <c r="BB41" s="16"/>
      <c r="BC41" s="16"/>
      <c r="BD41" s="16"/>
      <c r="BE41" s="16"/>
      <c r="BF41" s="16"/>
      <c r="BN41" s="52"/>
      <c r="BO41" s="52"/>
      <c r="BP41" s="16"/>
      <c r="BQ41" s="16"/>
      <c r="BR41" s="16"/>
      <c r="BS41" s="16"/>
      <c r="BT41" s="16"/>
      <c r="BU41" s="16"/>
      <c r="BV41" s="16"/>
      <c r="BW41" s="16"/>
      <c r="BX41" s="16"/>
      <c r="CF41" s="52"/>
      <c r="CG41" s="52"/>
      <c r="CH41" s="16"/>
      <c r="CI41" s="16"/>
      <c r="CJ41" s="16"/>
      <c r="CK41" s="16"/>
      <c r="CL41" s="16"/>
      <c r="CM41" s="16"/>
      <c r="CN41" s="16"/>
      <c r="CO41" s="16"/>
      <c r="CQ41" s="16"/>
      <c r="CY41" s="52"/>
      <c r="CZ41" s="52"/>
      <c r="DA41" s="16"/>
      <c r="DB41" s="16"/>
      <c r="DC41" s="16"/>
      <c r="DD41" s="16"/>
      <c r="DE41" s="16"/>
      <c r="DF41" s="16"/>
      <c r="DG41" s="16"/>
      <c r="DH41" s="16"/>
      <c r="DI41" s="16"/>
      <c r="DQ41" s="52"/>
      <c r="DR41" s="52"/>
      <c r="DS41" s="16"/>
      <c r="DT41" s="16"/>
      <c r="DU41" s="16"/>
      <c r="DV41" s="16"/>
      <c r="DW41" s="16"/>
      <c r="DX41" s="16"/>
      <c r="DY41" s="16"/>
      <c r="DZ41" s="16"/>
      <c r="EA41" s="16"/>
      <c r="EI41" s="52"/>
      <c r="EJ41" s="52"/>
      <c r="EK41" s="16"/>
      <c r="EL41" s="16"/>
      <c r="EM41" s="16"/>
      <c r="EN41" s="16"/>
      <c r="EO41" s="16"/>
      <c r="EP41" s="16"/>
      <c r="EQ41" s="16"/>
      <c r="ER41" s="16"/>
      <c r="ES41" s="16"/>
      <c r="ET41" s="16"/>
      <c r="FB41" s="52"/>
      <c r="FC41" s="52"/>
      <c r="FD41" s="16"/>
      <c r="FE41" s="16"/>
      <c r="FF41" s="16"/>
      <c r="FG41" s="16"/>
      <c r="FH41" s="16"/>
      <c r="FI41" s="16"/>
      <c r="FJ41" s="16"/>
      <c r="FK41" s="16"/>
    </row>
    <row r="42" spans="2:170" ht="15" customHeight="1">
      <c r="N42" s="16"/>
      <c r="O42" s="16"/>
      <c r="P42" s="16"/>
      <c r="Q42" s="16"/>
      <c r="AF42" s="16"/>
      <c r="AG42" s="16"/>
      <c r="AH42" s="16"/>
      <c r="AI42" s="16"/>
      <c r="AX42" s="16"/>
      <c r="AY42" s="16"/>
      <c r="AZ42" s="16"/>
      <c r="BA42" s="16"/>
      <c r="BP42" s="16"/>
      <c r="BQ42" s="16"/>
      <c r="BR42" s="16"/>
      <c r="BS42" s="16"/>
      <c r="CH42" s="16"/>
      <c r="CI42" s="16"/>
      <c r="CJ42" s="16"/>
      <c r="CK42" s="16"/>
      <c r="DA42" s="16"/>
      <c r="DB42" s="16"/>
      <c r="DC42" s="16"/>
      <c r="DD42" s="16"/>
      <c r="DS42" s="16"/>
      <c r="DT42" s="16"/>
      <c r="DU42" s="16"/>
      <c r="DV42" s="16"/>
      <c r="EK42" s="16"/>
      <c r="EL42" s="16"/>
      <c r="EM42" s="16"/>
      <c r="EN42" s="16"/>
      <c r="FD42" s="16"/>
      <c r="FE42" s="16"/>
      <c r="FF42" s="16"/>
      <c r="FG42" s="16"/>
    </row>
    <row r="43" spans="2:170" ht="15" customHeight="1">
      <c r="N43" s="53"/>
      <c r="O43" s="16"/>
      <c r="P43" s="16"/>
      <c r="Q43" s="16"/>
      <c r="R43" s="16"/>
      <c r="S43" s="16"/>
      <c r="T43" s="16"/>
      <c r="U43" s="16"/>
      <c r="V43" s="16"/>
      <c r="AF43" s="53"/>
      <c r="AG43" s="16"/>
      <c r="AH43" s="16"/>
      <c r="AI43" s="16"/>
      <c r="AJ43" s="16"/>
      <c r="AK43" s="16"/>
      <c r="AL43" s="16"/>
      <c r="AM43" s="16"/>
      <c r="AN43" s="16"/>
      <c r="AX43" s="53"/>
      <c r="AY43" s="16"/>
      <c r="AZ43" s="16"/>
      <c r="BA43" s="16"/>
      <c r="BB43" s="16"/>
      <c r="BC43" s="16"/>
      <c r="BD43" s="16"/>
      <c r="BE43" s="16"/>
      <c r="BF43" s="16"/>
      <c r="BP43" s="53"/>
      <c r="BQ43" s="16"/>
      <c r="BR43" s="16"/>
      <c r="BS43" s="16"/>
      <c r="BT43" s="16"/>
      <c r="BU43" s="16"/>
      <c r="BV43" s="16"/>
      <c r="BW43" s="16"/>
      <c r="BX43" s="16"/>
      <c r="CH43" s="53"/>
      <c r="CI43" s="16"/>
      <c r="CJ43" s="16"/>
      <c r="CK43" s="16"/>
      <c r="CL43" s="16"/>
      <c r="CM43" s="16"/>
      <c r="CN43" s="16"/>
      <c r="CO43" s="16"/>
      <c r="CQ43" s="16"/>
      <c r="DA43" s="53"/>
      <c r="DB43" s="16"/>
      <c r="DC43" s="16"/>
      <c r="DD43" s="16"/>
      <c r="DE43" s="16"/>
      <c r="DF43" s="16"/>
      <c r="DG43" s="16"/>
      <c r="DH43" s="16"/>
      <c r="DI43" s="16"/>
      <c r="DS43" s="53"/>
      <c r="DT43" s="16"/>
      <c r="DU43" s="16"/>
      <c r="DV43" s="16"/>
      <c r="DW43" s="16"/>
      <c r="DX43" s="16"/>
      <c r="DY43" s="16"/>
      <c r="DZ43" s="16"/>
      <c r="EA43" s="16"/>
      <c r="EK43" s="53"/>
      <c r="EL43" s="16"/>
      <c r="EM43" s="16"/>
      <c r="EN43" s="16"/>
      <c r="EO43" s="16"/>
      <c r="EP43" s="16"/>
      <c r="EQ43" s="16"/>
      <c r="ER43" s="16"/>
      <c r="ES43" s="16"/>
      <c r="ET43" s="16"/>
      <c r="FD43" s="53"/>
      <c r="FE43" s="16"/>
      <c r="FF43" s="16"/>
      <c r="FG43" s="16"/>
      <c r="FH43" s="16"/>
      <c r="FI43" s="16"/>
      <c r="FJ43" s="16"/>
      <c r="FK43" s="16"/>
    </row>
    <row r="44" spans="2:170" ht="15" customHeight="1">
      <c r="N44" s="16"/>
      <c r="O44" s="16"/>
      <c r="P44" s="16"/>
      <c r="Q44" s="16"/>
      <c r="R44" s="16"/>
      <c r="S44" s="16"/>
      <c r="T44" s="16"/>
      <c r="U44" s="16"/>
      <c r="V44" s="16"/>
      <c r="AF44" s="16"/>
      <c r="AG44" s="16"/>
      <c r="AH44" s="16"/>
      <c r="AI44" s="16"/>
      <c r="AJ44" s="16"/>
      <c r="AK44" s="16"/>
      <c r="AL44" s="16"/>
      <c r="AM44" s="16"/>
      <c r="AN44" s="16"/>
      <c r="AX44" s="16"/>
      <c r="AY44" s="16"/>
      <c r="AZ44" s="16"/>
      <c r="BA44" s="16"/>
      <c r="BB44" s="16"/>
      <c r="BC44" s="16"/>
      <c r="BD44" s="16"/>
      <c r="BE44" s="16"/>
      <c r="BF44" s="16"/>
      <c r="BP44" s="16"/>
      <c r="BQ44" s="16"/>
      <c r="BR44" s="16"/>
      <c r="BS44" s="16"/>
      <c r="BT44" s="16"/>
      <c r="BU44" s="16"/>
      <c r="BV44" s="16"/>
      <c r="BW44" s="16"/>
      <c r="BX44" s="16"/>
      <c r="CH44" s="16"/>
      <c r="CI44" s="16"/>
      <c r="CJ44" s="16"/>
      <c r="CK44" s="16"/>
      <c r="CL44" s="16"/>
      <c r="CM44" s="16"/>
      <c r="CN44" s="16"/>
      <c r="CO44" s="16"/>
      <c r="CQ44" s="16"/>
      <c r="DA44" s="16"/>
      <c r="DB44" s="16"/>
      <c r="DC44" s="16"/>
      <c r="DD44" s="16"/>
      <c r="DE44" s="16"/>
      <c r="DF44" s="16"/>
      <c r="DG44" s="16"/>
      <c r="DH44" s="16"/>
      <c r="DI44" s="16"/>
      <c r="DS44" s="16"/>
      <c r="DT44" s="16"/>
      <c r="DU44" s="16"/>
      <c r="DV44" s="16"/>
      <c r="DW44" s="16"/>
      <c r="DX44" s="16"/>
      <c r="DY44" s="16"/>
      <c r="DZ44" s="16"/>
      <c r="EA44" s="16"/>
      <c r="EK44" s="16"/>
      <c r="EL44" s="16"/>
      <c r="EM44" s="16"/>
      <c r="EN44" s="16"/>
      <c r="EO44" s="16"/>
      <c r="EP44" s="16"/>
      <c r="EQ44" s="16"/>
      <c r="ER44" s="16"/>
      <c r="ES44" s="16"/>
      <c r="ET44" s="16"/>
      <c r="FD44" s="16"/>
      <c r="FE44" s="16"/>
      <c r="FF44" s="16"/>
      <c r="FG44" s="16"/>
      <c r="FH44" s="16"/>
      <c r="FI44" s="16"/>
      <c r="FJ44" s="16"/>
      <c r="FK44" s="16"/>
    </row>
  </sheetData>
  <mergeCells count="210">
    <mergeCell ref="EU39:FK39"/>
    <mergeCell ref="EU10:EV10"/>
    <mergeCell ref="EX10:EY10"/>
    <mergeCell ref="FA10:FB10"/>
    <mergeCell ref="FD10:FE10"/>
    <mergeCell ref="FG10:FH10"/>
    <mergeCell ref="FJ10:FK10"/>
    <mergeCell ref="EU37:FK37"/>
    <mergeCell ref="EU38:EV38"/>
    <mergeCell ref="EX38:EY38"/>
    <mergeCell ref="FA38:FB38"/>
    <mergeCell ref="FD38:FE38"/>
    <mergeCell ref="FG38:FH38"/>
    <mergeCell ref="FJ38:FK38"/>
    <mergeCell ref="EU5:FK5"/>
    <mergeCell ref="EU6:FK6"/>
    <mergeCell ref="EU7:EV7"/>
    <mergeCell ref="EX7:EY7"/>
    <mergeCell ref="FA7:FB7"/>
    <mergeCell ref="FD7:FE7"/>
    <mergeCell ref="FG7:FH7"/>
    <mergeCell ref="FJ7:FK7"/>
    <mergeCell ref="EU8:FK8"/>
    <mergeCell ref="DA38:DB38"/>
    <mergeCell ref="DD38:DE38"/>
    <mergeCell ref="DG38:DH38"/>
    <mergeCell ref="CR39:DH39"/>
    <mergeCell ref="CR38:CS38"/>
    <mergeCell ref="CU38:CV38"/>
    <mergeCell ref="CX38:CY38"/>
    <mergeCell ref="CU10:CV10"/>
    <mergeCell ref="CX10:CY10"/>
    <mergeCell ref="DA10:DB10"/>
    <mergeCell ref="DD10:DE10"/>
    <mergeCell ref="DG10:DH10"/>
    <mergeCell ref="CR37:DH37"/>
    <mergeCell ref="CR10:CS10"/>
    <mergeCell ref="DA7:DB7"/>
    <mergeCell ref="DD7:DE7"/>
    <mergeCell ref="DG7:DH7"/>
    <mergeCell ref="CR8:DH8"/>
    <mergeCell ref="CR7:CS7"/>
    <mergeCell ref="CU7:CV7"/>
    <mergeCell ref="CX7:CY7"/>
    <mergeCell ref="CR5:DH5"/>
    <mergeCell ref="CR6:DH6"/>
    <mergeCell ref="BY39:CO39"/>
    <mergeCell ref="BY37:CO37"/>
    <mergeCell ref="BY38:BZ38"/>
    <mergeCell ref="CB38:CC38"/>
    <mergeCell ref="CE38:CF38"/>
    <mergeCell ref="CH38:CI38"/>
    <mergeCell ref="CK38:CL38"/>
    <mergeCell ref="CN38:CO38"/>
    <mergeCell ref="BY8:CO8"/>
    <mergeCell ref="BY10:BZ10"/>
    <mergeCell ref="CB10:CC10"/>
    <mergeCell ref="CE10:CF10"/>
    <mergeCell ref="CH10:CI10"/>
    <mergeCell ref="CK10:CL10"/>
    <mergeCell ref="CN10:CO10"/>
    <mergeCell ref="BY5:CO5"/>
    <mergeCell ref="BY6:CO6"/>
    <mergeCell ref="BY7:BZ7"/>
    <mergeCell ref="CB7:CC7"/>
    <mergeCell ref="CE7:CF7"/>
    <mergeCell ref="CH7:CI7"/>
    <mergeCell ref="CK7:CL7"/>
    <mergeCell ref="CN7:CO7"/>
    <mergeCell ref="AO39:BE39"/>
    <mergeCell ref="AO37:BE37"/>
    <mergeCell ref="AO38:AP38"/>
    <mergeCell ref="AR38:AS38"/>
    <mergeCell ref="AU38:AV38"/>
    <mergeCell ref="AX38:AY38"/>
    <mergeCell ref="BA38:BB38"/>
    <mergeCell ref="BD38:BE38"/>
    <mergeCell ref="AO8:BE8"/>
    <mergeCell ref="AO10:AP10"/>
    <mergeCell ref="AR10:AS10"/>
    <mergeCell ref="AU10:AV10"/>
    <mergeCell ref="AX10:AY10"/>
    <mergeCell ref="BA10:BB10"/>
    <mergeCell ref="BD10:BE10"/>
    <mergeCell ref="AO5:BE5"/>
    <mergeCell ref="AO6:BE6"/>
    <mergeCell ref="AO7:AP7"/>
    <mergeCell ref="AR7:AS7"/>
    <mergeCell ref="AU7:AV7"/>
    <mergeCell ref="AX7:AY7"/>
    <mergeCell ref="BA7:BB7"/>
    <mergeCell ref="BD7:BE7"/>
    <mergeCell ref="AL10:AM10"/>
    <mergeCell ref="B37:C39"/>
    <mergeCell ref="W37:AM37"/>
    <mergeCell ref="W38:X38"/>
    <mergeCell ref="Z38:AA38"/>
    <mergeCell ref="AC38:AD38"/>
    <mergeCell ref="AF38:AG38"/>
    <mergeCell ref="AI38:AJ38"/>
    <mergeCell ref="AL38:AM38"/>
    <mergeCell ref="W39:AM39"/>
    <mergeCell ref="B10:C10"/>
    <mergeCell ref="W10:X10"/>
    <mergeCell ref="Z10:AA10"/>
    <mergeCell ref="AC10:AD10"/>
    <mergeCell ref="AF10:AG10"/>
    <mergeCell ref="AI10:AJ10"/>
    <mergeCell ref="E10:F10"/>
    <mergeCell ref="W5:AM5"/>
    <mergeCell ref="B6:C8"/>
    <mergeCell ref="W6:AM6"/>
    <mergeCell ref="W7:X7"/>
    <mergeCell ref="Z7:AA7"/>
    <mergeCell ref="AC7:AD7"/>
    <mergeCell ref="AF7:AG7"/>
    <mergeCell ref="AI7:AJ7"/>
    <mergeCell ref="AL7:AM7"/>
    <mergeCell ref="W8:AM8"/>
    <mergeCell ref="E5:U5"/>
    <mergeCell ref="E6:U6"/>
    <mergeCell ref="E7:F7"/>
    <mergeCell ref="H7:I7"/>
    <mergeCell ref="K7:L7"/>
    <mergeCell ref="N7:O7"/>
    <mergeCell ref="Q7:R7"/>
    <mergeCell ref="T7:U7"/>
    <mergeCell ref="E8:U8"/>
    <mergeCell ref="H10:I10"/>
    <mergeCell ref="K10:L10"/>
    <mergeCell ref="N10:O10"/>
    <mergeCell ref="Q10:R10"/>
    <mergeCell ref="T10:U10"/>
    <mergeCell ref="E39:U39"/>
    <mergeCell ref="E37:U37"/>
    <mergeCell ref="E38:F38"/>
    <mergeCell ref="H38:I38"/>
    <mergeCell ref="K38:L38"/>
    <mergeCell ref="N38:O38"/>
    <mergeCell ref="Q38:R38"/>
    <mergeCell ref="T38:U38"/>
    <mergeCell ref="BG5:BW5"/>
    <mergeCell ref="BG6:BW6"/>
    <mergeCell ref="BG7:BH7"/>
    <mergeCell ref="BJ7:BK7"/>
    <mergeCell ref="BM7:BN7"/>
    <mergeCell ref="BP7:BQ7"/>
    <mergeCell ref="BS7:BT7"/>
    <mergeCell ref="BV7:BW7"/>
    <mergeCell ref="BG8:BW8"/>
    <mergeCell ref="BG10:BH10"/>
    <mergeCell ref="BJ10:BK10"/>
    <mergeCell ref="BM10:BN10"/>
    <mergeCell ref="BP10:BQ10"/>
    <mergeCell ref="BS10:BT10"/>
    <mergeCell ref="BV10:BW10"/>
    <mergeCell ref="BG39:BW39"/>
    <mergeCell ref="BG37:BW37"/>
    <mergeCell ref="BG38:BH38"/>
    <mergeCell ref="BJ38:BK38"/>
    <mergeCell ref="BM38:BN38"/>
    <mergeCell ref="BP38:BQ38"/>
    <mergeCell ref="BS38:BT38"/>
    <mergeCell ref="BV38:BW38"/>
    <mergeCell ref="DJ5:DZ5"/>
    <mergeCell ref="DJ6:DZ6"/>
    <mergeCell ref="DJ7:DK7"/>
    <mergeCell ref="DM7:DN7"/>
    <mergeCell ref="DP7:DQ7"/>
    <mergeCell ref="DS7:DT7"/>
    <mergeCell ref="DV7:DW7"/>
    <mergeCell ref="DY7:DZ7"/>
    <mergeCell ref="DJ8:DZ8"/>
    <mergeCell ref="DJ39:DZ39"/>
    <mergeCell ref="DJ10:DK10"/>
    <mergeCell ref="DM10:DN10"/>
    <mergeCell ref="DP10:DQ10"/>
    <mergeCell ref="DS10:DT10"/>
    <mergeCell ref="DV10:DW10"/>
    <mergeCell ref="DY10:DZ10"/>
    <mergeCell ref="DJ37:DZ37"/>
    <mergeCell ref="DJ38:DK38"/>
    <mergeCell ref="DM38:DN38"/>
    <mergeCell ref="DP38:DQ38"/>
    <mergeCell ref="DS38:DT38"/>
    <mergeCell ref="DV38:DW38"/>
    <mergeCell ref="DY38:DZ38"/>
    <mergeCell ref="EB5:ER5"/>
    <mergeCell ref="EB6:ER6"/>
    <mergeCell ref="EB7:EC7"/>
    <mergeCell ref="EE7:EF7"/>
    <mergeCell ref="EH7:EI7"/>
    <mergeCell ref="EK7:EL7"/>
    <mergeCell ref="EN7:EO7"/>
    <mergeCell ref="EQ7:ER7"/>
    <mergeCell ref="EB8:ER8"/>
    <mergeCell ref="EB39:ER39"/>
    <mergeCell ref="EB10:EC10"/>
    <mergeCell ref="EE10:EF10"/>
    <mergeCell ref="EH10:EI10"/>
    <mergeCell ref="EK10:EL10"/>
    <mergeCell ref="EN10:EO10"/>
    <mergeCell ref="EQ10:ER10"/>
    <mergeCell ref="EB37:ER37"/>
    <mergeCell ref="EB38:EC38"/>
    <mergeCell ref="EE38:EF38"/>
    <mergeCell ref="EH38:EI38"/>
    <mergeCell ref="EK38:EL38"/>
    <mergeCell ref="EN38:EO38"/>
    <mergeCell ref="EQ38:ER38"/>
  </mergeCells>
  <printOptions horizontalCentered="1"/>
  <pageMargins left="0.19685039370078741" right="0.19685039370078741" top="0.19685039370078741" bottom="0.19685039370078741" header="0" footer="0"/>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E94"/>
  <sheetViews>
    <sheetView zoomScaleNormal="100" workbookViewId="0"/>
  </sheetViews>
  <sheetFormatPr defaultColWidth="9.109375" defaultRowHeight="13.8" outlineLevelCol="1"/>
  <cols>
    <col min="1" max="1" width="0.5546875" style="11" customWidth="1"/>
    <col min="2" max="2" width="2.6640625" style="11" bestFit="1" customWidth="1"/>
    <col min="3" max="3" width="0.88671875" style="11" customWidth="1"/>
    <col min="4" max="4" width="28.109375" style="11" customWidth="1"/>
    <col min="5" max="5" width="5.6640625" style="11" hidden="1" customWidth="1" outlineLevel="1"/>
    <col min="6" max="6" width="1.33203125" style="11" hidden="1" customWidth="1" outlineLevel="1"/>
    <col min="7" max="7" width="5.6640625" style="11" hidden="1" customWidth="1" outlineLevel="1"/>
    <col min="8" max="8" width="1.33203125" style="11" hidden="1" customWidth="1" outlineLevel="1"/>
    <col min="9" max="9" width="5.6640625" style="11" hidden="1" customWidth="1" outlineLevel="1"/>
    <col min="10" max="10" width="1.33203125" style="11" hidden="1" customWidth="1" outlineLevel="1"/>
    <col min="11" max="11" width="5.6640625" style="11" hidden="1" customWidth="1" outlineLevel="1"/>
    <col min="12" max="12" width="1.33203125" style="11" hidden="1" customWidth="1" outlineLevel="1"/>
    <col min="13" max="13" width="5.6640625" style="11" hidden="1" customWidth="1" outlineLevel="1"/>
    <col min="14" max="14" width="1.33203125" style="11" hidden="1" customWidth="1" outlineLevel="1"/>
    <col min="15" max="15" width="5.6640625" style="11" hidden="1" customWidth="1" outlineLevel="1"/>
    <col min="16" max="16" width="1.33203125" style="11" hidden="1" customWidth="1" outlineLevel="1"/>
    <col min="17" max="17" width="5.6640625" style="11" hidden="1" customWidth="1" outlineLevel="1"/>
    <col min="18" max="18" width="1.33203125" style="11" hidden="1" customWidth="1" outlineLevel="1"/>
    <col min="19" max="19" width="5.6640625" style="11" hidden="1" customWidth="1" outlineLevel="1"/>
    <col min="20" max="20" width="1.33203125" style="11" hidden="1" customWidth="1" outlineLevel="1"/>
    <col min="21" max="21" width="5.6640625" style="11" hidden="1" customWidth="1" outlineLevel="1"/>
    <col min="22" max="22" width="1.33203125" style="11" hidden="1" customWidth="1" outlineLevel="1"/>
    <col min="23" max="23" width="5.6640625" style="11" hidden="1" customWidth="1" outlineLevel="1"/>
    <col min="24" max="24" width="1.33203125" style="11" hidden="1" customWidth="1" outlineLevel="1"/>
    <col min="25" max="25" width="5.6640625" style="11" hidden="1" customWidth="1" outlineLevel="1"/>
    <col min="26" max="26" width="1.33203125" style="11" hidden="1" customWidth="1" outlineLevel="1"/>
    <col min="27" max="27" width="5.6640625" style="11" hidden="1" customWidth="1" outlineLevel="1"/>
    <col min="28" max="28" width="1.6640625" style="11" hidden="1" customWidth="1" outlineLevel="1"/>
    <col min="29" max="29" width="5.109375" style="11" hidden="1" customWidth="1" outlineLevel="1"/>
    <col min="30" max="30" width="1.33203125" style="11" hidden="1" customWidth="1" outlineLevel="1"/>
    <col min="31" max="31" width="5.6640625" style="11" hidden="1" customWidth="1" outlineLevel="1"/>
    <col min="32" max="32" width="1.33203125" style="11" hidden="1" customWidth="1" outlineLevel="1"/>
    <col min="33" max="33" width="5.6640625" style="11" hidden="1" customWidth="1" outlineLevel="1"/>
    <col min="34" max="34" width="1.33203125" style="11" hidden="1" customWidth="1" outlineLevel="1"/>
    <col min="35" max="35" width="5.6640625" style="11" hidden="1" customWidth="1" outlineLevel="1"/>
    <col min="36" max="36" width="1.33203125" style="11" hidden="1" customWidth="1" outlineLevel="1"/>
    <col min="37" max="37" width="5.6640625" style="11" customWidth="1" collapsed="1"/>
    <col min="38" max="38" width="1.33203125" style="11" customWidth="1"/>
    <col min="39" max="39" width="5.6640625" style="11" customWidth="1"/>
    <col min="40" max="40" width="1.33203125" style="11" customWidth="1"/>
    <col min="41" max="41" width="5.6640625" style="11" customWidth="1"/>
    <col min="42" max="42" width="1.33203125" style="11" customWidth="1"/>
    <col min="43" max="43" width="5.6640625" style="11" customWidth="1"/>
    <col min="44" max="44" width="1.33203125" style="11" customWidth="1"/>
    <col min="45" max="45" width="5" style="11" customWidth="1"/>
    <col min="46" max="46" width="1.88671875" style="11" customWidth="1"/>
    <col min="47" max="47" width="5" style="11" customWidth="1"/>
    <col min="48" max="48" width="1.88671875" style="11" customWidth="1"/>
    <col min="49" max="49" width="0.88671875" style="11" customWidth="1"/>
    <col min="50" max="50" width="33" style="11" customWidth="1"/>
    <col min="51" max="16384" width="9.109375" style="11"/>
  </cols>
  <sheetData>
    <row r="1" spans="1:55">
      <c r="B1" s="10" t="s">
        <v>1086</v>
      </c>
      <c r="C1" s="10"/>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5">
      <c r="B2" s="156" t="s">
        <v>1087</v>
      </c>
      <c r="C2" s="10"/>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
      <c r="AL2" s="2"/>
      <c r="AM2" s="2"/>
      <c r="AN2" s="2"/>
      <c r="AO2" s="2"/>
      <c r="AP2" s="2"/>
      <c r="AQ2" s="2"/>
      <c r="AR2" s="2"/>
      <c r="AS2" s="2"/>
      <c r="AT2" s="2"/>
      <c r="AU2" s="2"/>
      <c r="AV2" s="2"/>
      <c r="AW2" s="2"/>
      <c r="AX2" s="2"/>
    </row>
    <row r="3" spans="1:55" ht="6" customHeight="1">
      <c r="B3" s="62"/>
      <c r="C3" s="62"/>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row>
    <row r="4" spans="1:55" ht="6"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row>
    <row r="5" spans="1:55" ht="14.25" customHeight="1">
      <c r="A5" s="16"/>
      <c r="B5" s="523" t="s">
        <v>291</v>
      </c>
      <c r="C5" s="523"/>
      <c r="D5" s="523"/>
      <c r="E5" s="281">
        <v>2000</v>
      </c>
      <c r="F5" s="404"/>
      <c r="G5" s="281">
        <v>2001</v>
      </c>
      <c r="H5" s="404"/>
      <c r="I5" s="281">
        <v>2002</v>
      </c>
      <c r="J5" s="404"/>
      <c r="K5" s="281">
        <v>2003</v>
      </c>
      <c r="L5" s="404"/>
      <c r="M5" s="281">
        <v>2004</v>
      </c>
      <c r="N5" s="404"/>
      <c r="O5" s="281">
        <v>2005</v>
      </c>
      <c r="P5" s="404"/>
      <c r="Q5" s="281">
        <v>2006</v>
      </c>
      <c r="R5" s="404"/>
      <c r="S5" s="281">
        <v>2007</v>
      </c>
      <c r="T5" s="407"/>
      <c r="U5" s="281">
        <v>2008</v>
      </c>
      <c r="V5" s="407"/>
      <c r="W5" s="281">
        <v>2009</v>
      </c>
      <c r="X5" s="407"/>
      <c r="Y5" s="281">
        <v>2010</v>
      </c>
      <c r="Z5" s="407"/>
      <c r="AA5" s="281">
        <v>2011</v>
      </c>
      <c r="AB5" s="407"/>
      <c r="AC5" s="281">
        <v>2012</v>
      </c>
      <c r="AD5" s="407"/>
      <c r="AE5" s="281">
        <v>2013</v>
      </c>
      <c r="AF5" s="407"/>
      <c r="AG5" s="281">
        <v>2014</v>
      </c>
      <c r="AH5" s="407"/>
      <c r="AI5" s="281">
        <v>2015</v>
      </c>
      <c r="AJ5" s="407"/>
      <c r="AK5" s="281">
        <v>2016</v>
      </c>
      <c r="AL5" s="407"/>
      <c r="AM5" s="281">
        <v>2017</v>
      </c>
      <c r="AN5" s="407"/>
      <c r="AO5" s="281">
        <v>2018</v>
      </c>
      <c r="AP5" s="407"/>
      <c r="AQ5" s="281">
        <v>2019</v>
      </c>
      <c r="AR5" s="407"/>
      <c r="AS5" s="281">
        <v>2020</v>
      </c>
      <c r="AT5" s="407"/>
      <c r="AU5" s="281">
        <v>2021</v>
      </c>
      <c r="AV5" s="407"/>
      <c r="AX5" s="283" t="s">
        <v>292</v>
      </c>
    </row>
    <row r="6" spans="1:55" ht="6" customHeight="1">
      <c r="A6" s="16"/>
      <c r="B6" s="80"/>
      <c r="C6" s="80"/>
      <c r="D6" s="80"/>
      <c r="E6" s="80"/>
      <c r="F6" s="81"/>
      <c r="G6" s="80"/>
      <c r="H6" s="81"/>
      <c r="I6" s="80"/>
      <c r="J6" s="81"/>
      <c r="K6" s="80"/>
      <c r="L6" s="81"/>
      <c r="M6" s="80"/>
      <c r="N6" s="81"/>
      <c r="O6" s="80"/>
      <c r="P6" s="81"/>
      <c r="Q6" s="80"/>
      <c r="R6" s="81"/>
      <c r="S6" s="80"/>
      <c r="T6" s="7"/>
      <c r="U6" s="80"/>
      <c r="V6" s="7"/>
      <c r="W6" s="80"/>
      <c r="X6" s="7"/>
      <c r="Y6" s="80"/>
      <c r="Z6" s="7"/>
      <c r="AA6" s="80"/>
      <c r="AB6" s="80"/>
      <c r="AC6" s="80"/>
      <c r="AD6" s="7"/>
      <c r="AE6" s="80"/>
      <c r="AF6" s="7"/>
      <c r="AG6" s="80"/>
      <c r="AH6" s="7"/>
      <c r="AI6" s="80"/>
      <c r="AJ6" s="7"/>
      <c r="AK6" s="80"/>
      <c r="AL6" s="7"/>
      <c r="AM6" s="80"/>
      <c r="AN6" s="7"/>
      <c r="AO6" s="80"/>
      <c r="AP6" s="7"/>
      <c r="AQ6" s="80"/>
      <c r="AR6" s="7"/>
      <c r="AS6" s="80"/>
      <c r="AT6" s="80"/>
      <c r="AU6" s="80"/>
      <c r="AV6" s="80"/>
      <c r="AW6" s="80"/>
      <c r="AX6" s="7"/>
    </row>
    <row r="7" spans="1:55" ht="6" customHeight="1">
      <c r="A7" s="16"/>
      <c r="B7" s="42"/>
      <c r="C7" s="42"/>
      <c r="D7" s="16"/>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6"/>
    </row>
    <row r="8" spans="1:55" ht="10.5" customHeight="1">
      <c r="A8" s="16"/>
      <c r="B8" s="42"/>
      <c r="C8" s="42"/>
      <c r="D8" s="63" t="s">
        <v>68</v>
      </c>
      <c r="E8" s="75"/>
      <c r="F8" s="75"/>
      <c r="G8" s="75"/>
      <c r="H8" s="75"/>
      <c r="I8" s="75"/>
      <c r="J8" s="75"/>
      <c r="K8" s="75"/>
      <c r="L8" s="75"/>
      <c r="M8" s="75"/>
      <c r="N8" s="75"/>
      <c r="O8" s="75"/>
      <c r="P8" s="75"/>
      <c r="Q8" s="75"/>
      <c r="R8" s="75"/>
      <c r="S8" s="75"/>
      <c r="T8" s="75"/>
      <c r="U8" s="75"/>
      <c r="V8" s="75"/>
      <c r="W8" s="75"/>
      <c r="X8" s="75"/>
      <c r="Y8" s="75"/>
      <c r="Z8" s="23"/>
      <c r="AA8" s="75"/>
      <c r="AB8" s="75"/>
      <c r="AC8" s="75"/>
      <c r="AD8" s="75"/>
      <c r="AE8" s="75"/>
      <c r="AF8" s="75"/>
      <c r="AG8" s="75"/>
      <c r="AH8" s="75"/>
      <c r="AI8" s="75"/>
      <c r="AJ8" s="75"/>
      <c r="AK8" s="75"/>
      <c r="AL8" s="75"/>
      <c r="AM8" s="75"/>
      <c r="AN8" s="75"/>
      <c r="AO8" s="75"/>
      <c r="AP8" s="75"/>
      <c r="AQ8" s="75"/>
      <c r="AR8" s="75"/>
      <c r="AS8" s="17"/>
      <c r="AT8" s="17"/>
      <c r="AU8" s="17"/>
      <c r="AV8" s="17"/>
      <c r="AW8" s="17"/>
      <c r="AX8" s="63" t="s">
        <v>84</v>
      </c>
    </row>
    <row r="9" spans="1:55" ht="6.6" customHeight="1">
      <c r="A9" s="16"/>
      <c r="B9" s="42"/>
      <c r="C9" s="42"/>
      <c r="D9" s="16"/>
      <c r="E9" s="75"/>
      <c r="F9" s="75"/>
      <c r="G9" s="75"/>
      <c r="H9" s="75"/>
      <c r="I9" s="75"/>
      <c r="J9" s="75"/>
      <c r="K9" s="75"/>
      <c r="L9" s="75"/>
      <c r="M9" s="75"/>
      <c r="N9" s="75"/>
      <c r="O9" s="75"/>
      <c r="P9" s="75"/>
      <c r="Q9" s="75"/>
      <c r="R9" s="75"/>
      <c r="S9" s="75"/>
      <c r="T9" s="75"/>
      <c r="U9" s="75"/>
      <c r="V9" s="75"/>
      <c r="W9" s="75"/>
      <c r="X9" s="75"/>
      <c r="Y9" s="75"/>
      <c r="Z9" s="23"/>
      <c r="AA9" s="75"/>
      <c r="AB9" s="75"/>
      <c r="AC9" s="75"/>
      <c r="AD9" s="75"/>
      <c r="AE9" s="75"/>
      <c r="AF9" s="75"/>
      <c r="AG9" s="75"/>
      <c r="AH9" s="75"/>
      <c r="AI9" s="75"/>
      <c r="AJ9" s="75"/>
      <c r="AK9" s="75"/>
      <c r="AL9" s="75"/>
      <c r="AM9" s="75"/>
      <c r="AN9" s="75"/>
      <c r="AO9" s="75"/>
      <c r="AP9" s="75"/>
      <c r="AQ9" s="75"/>
      <c r="AR9" s="75"/>
      <c r="AS9" s="17"/>
      <c r="AT9" s="17"/>
      <c r="AU9" s="17"/>
      <c r="AV9" s="17"/>
      <c r="AW9" s="17"/>
      <c r="AX9" s="16"/>
    </row>
    <row r="10" spans="1:55" ht="10.5" customHeight="1">
      <c r="A10" s="16"/>
      <c r="B10" s="42">
        <v>1</v>
      </c>
      <c r="C10" s="42"/>
      <c r="D10" s="18" t="s">
        <v>293</v>
      </c>
      <c r="E10" s="65">
        <v>1120</v>
      </c>
      <c r="F10" s="132"/>
      <c r="G10" s="65">
        <v>1191</v>
      </c>
      <c r="H10" s="132"/>
      <c r="I10" s="65">
        <v>1247</v>
      </c>
      <c r="J10" s="132"/>
      <c r="K10" s="65">
        <v>1287</v>
      </c>
      <c r="L10" s="132"/>
      <c r="M10" s="65">
        <v>1298</v>
      </c>
      <c r="N10" s="132"/>
      <c r="O10" s="65">
        <v>1443</v>
      </c>
      <c r="P10" s="132"/>
      <c r="Q10" s="65">
        <v>1526</v>
      </c>
      <c r="R10" s="132"/>
      <c r="S10" s="65">
        <v>1750</v>
      </c>
      <c r="T10" s="132"/>
      <c r="U10" s="65">
        <v>1876</v>
      </c>
      <c r="V10" s="132"/>
      <c r="W10" s="65">
        <v>1879</v>
      </c>
      <c r="X10" s="132"/>
      <c r="Y10" s="65">
        <v>1985</v>
      </c>
      <c r="Z10" s="67"/>
      <c r="AA10" s="65">
        <v>2078</v>
      </c>
      <c r="AB10" s="65"/>
      <c r="AC10" s="65">
        <v>2335</v>
      </c>
      <c r="AD10" s="18"/>
      <c r="AE10" s="65">
        <v>2349</v>
      </c>
      <c r="AF10" s="23"/>
      <c r="AG10" s="65">
        <v>2436</v>
      </c>
      <c r="AH10" s="23"/>
      <c r="AI10" s="65">
        <v>2440</v>
      </c>
      <c r="AJ10" s="18"/>
      <c r="AK10" s="65">
        <v>2558</v>
      </c>
      <c r="AL10" s="18"/>
      <c r="AM10" s="65">
        <v>2699</v>
      </c>
      <c r="AN10" s="18"/>
      <c r="AO10" s="65">
        <v>2816</v>
      </c>
      <c r="AP10" s="23"/>
      <c r="AQ10" s="65">
        <v>2817</v>
      </c>
      <c r="AR10" s="18"/>
      <c r="AS10" s="65">
        <v>2974</v>
      </c>
      <c r="AT10" s="133"/>
      <c r="AU10" s="65">
        <v>3044</v>
      </c>
      <c r="AV10" s="133"/>
      <c r="AW10" s="133"/>
      <c r="AX10" s="18" t="s">
        <v>294</v>
      </c>
      <c r="AY10" s="319"/>
    </row>
    <row r="11" spans="1:55" ht="10.5" customHeight="1">
      <c r="A11" s="16"/>
      <c r="B11" s="42">
        <v>2</v>
      </c>
      <c r="C11" s="42"/>
      <c r="D11" s="24" t="s">
        <v>295</v>
      </c>
      <c r="E11" s="28">
        <v>569</v>
      </c>
      <c r="F11" s="134"/>
      <c r="G11" s="28">
        <v>656</v>
      </c>
      <c r="H11" s="134"/>
      <c r="I11" s="28">
        <v>716</v>
      </c>
      <c r="J11" s="134"/>
      <c r="K11" s="28">
        <v>757</v>
      </c>
      <c r="L11" s="134"/>
      <c r="M11" s="28">
        <v>753</v>
      </c>
      <c r="N11" s="134"/>
      <c r="O11" s="28">
        <v>875</v>
      </c>
      <c r="P11" s="134"/>
      <c r="Q11" s="28">
        <v>947</v>
      </c>
      <c r="R11" s="134"/>
      <c r="S11" s="28">
        <v>1174</v>
      </c>
      <c r="T11" s="134"/>
      <c r="U11" s="28">
        <v>1283</v>
      </c>
      <c r="V11" s="134"/>
      <c r="W11" s="28">
        <v>1281</v>
      </c>
      <c r="X11" s="134"/>
      <c r="Y11" s="28">
        <v>1375</v>
      </c>
      <c r="Z11" s="23"/>
      <c r="AA11" s="28">
        <v>1442</v>
      </c>
      <c r="AB11" s="28"/>
      <c r="AC11" s="28">
        <v>1715</v>
      </c>
      <c r="AD11" s="16"/>
      <c r="AE11" s="28">
        <v>1786</v>
      </c>
      <c r="AF11" s="23"/>
      <c r="AG11" s="28">
        <v>1873</v>
      </c>
      <c r="AH11" s="23"/>
      <c r="AI11" s="28">
        <v>1905</v>
      </c>
      <c r="AJ11" s="16"/>
      <c r="AK11" s="28">
        <v>2021</v>
      </c>
      <c r="AL11" s="16"/>
      <c r="AM11" s="28">
        <v>2166</v>
      </c>
      <c r="AN11" s="16"/>
      <c r="AO11" s="28">
        <v>2253</v>
      </c>
      <c r="AP11" s="23"/>
      <c r="AQ11" s="28">
        <v>2256</v>
      </c>
      <c r="AR11" s="16"/>
      <c r="AS11" s="28">
        <v>2405</v>
      </c>
      <c r="AT11" s="75"/>
      <c r="AU11" s="28">
        <v>2472</v>
      </c>
      <c r="AV11" s="75"/>
      <c r="AW11" s="75"/>
      <c r="AX11" s="24" t="s">
        <v>296</v>
      </c>
      <c r="AY11" s="414"/>
      <c r="AZ11" s="211"/>
      <c r="BA11" s="211"/>
      <c r="BB11" s="211"/>
      <c r="BC11" s="211"/>
    </row>
    <row r="12" spans="1:55" ht="10.5" customHeight="1">
      <c r="A12" s="16"/>
      <c r="B12" s="42">
        <v>3</v>
      </c>
      <c r="C12" s="42"/>
      <c r="D12" s="24" t="s">
        <v>297</v>
      </c>
      <c r="E12" s="28">
        <v>551</v>
      </c>
      <c r="F12" s="134"/>
      <c r="G12" s="28">
        <v>535</v>
      </c>
      <c r="H12" s="134"/>
      <c r="I12" s="28">
        <v>531</v>
      </c>
      <c r="J12" s="134"/>
      <c r="K12" s="28">
        <v>530</v>
      </c>
      <c r="L12" s="134"/>
      <c r="M12" s="28">
        <v>545</v>
      </c>
      <c r="N12" s="134"/>
      <c r="O12" s="28">
        <v>568</v>
      </c>
      <c r="P12" s="134"/>
      <c r="Q12" s="28">
        <v>579</v>
      </c>
      <c r="R12" s="134"/>
      <c r="S12" s="28">
        <v>576</v>
      </c>
      <c r="T12" s="134"/>
      <c r="U12" s="28">
        <v>593</v>
      </c>
      <c r="V12" s="134"/>
      <c r="W12" s="28">
        <v>598</v>
      </c>
      <c r="X12" s="134"/>
      <c r="Y12" s="28">
        <v>610</v>
      </c>
      <c r="Z12" s="23"/>
      <c r="AA12" s="28">
        <v>636</v>
      </c>
      <c r="AB12" s="28"/>
      <c r="AC12" s="28">
        <v>620</v>
      </c>
      <c r="AD12" s="16"/>
      <c r="AE12" s="28">
        <v>563</v>
      </c>
      <c r="AF12" s="23"/>
      <c r="AG12" s="28">
        <v>563</v>
      </c>
      <c r="AH12" s="23"/>
      <c r="AI12" s="28">
        <v>535</v>
      </c>
      <c r="AJ12" s="16"/>
      <c r="AK12" s="28">
        <v>537</v>
      </c>
      <c r="AL12" s="16"/>
      <c r="AM12" s="28">
        <v>533</v>
      </c>
      <c r="AN12" s="16"/>
      <c r="AO12" s="28">
        <v>563</v>
      </c>
      <c r="AP12" s="16"/>
      <c r="AQ12" s="28">
        <v>561</v>
      </c>
      <c r="AR12" s="16"/>
      <c r="AS12" s="28">
        <v>569</v>
      </c>
      <c r="AT12" s="75"/>
      <c r="AU12" s="28">
        <v>572</v>
      </c>
      <c r="AV12" s="75"/>
      <c r="AW12" s="75"/>
      <c r="AX12" s="24" t="s">
        <v>298</v>
      </c>
    </row>
    <row r="13" spans="1:55" ht="6.6" customHeight="1">
      <c r="A13" s="16"/>
      <c r="B13" s="42"/>
      <c r="C13" s="42"/>
      <c r="D13" s="18"/>
      <c r="E13" s="28"/>
      <c r="F13" s="134"/>
      <c r="G13" s="28"/>
      <c r="H13" s="134"/>
      <c r="I13" s="28"/>
      <c r="J13" s="134"/>
      <c r="K13" s="28"/>
      <c r="L13" s="134"/>
      <c r="M13" s="28"/>
      <c r="N13" s="134"/>
      <c r="O13" s="28"/>
      <c r="P13" s="134"/>
      <c r="Q13" s="28"/>
      <c r="R13" s="134"/>
      <c r="S13" s="28"/>
      <c r="T13" s="134"/>
      <c r="U13" s="28"/>
      <c r="V13" s="134"/>
      <c r="W13" s="28"/>
      <c r="X13" s="134"/>
      <c r="Y13" s="28"/>
      <c r="Z13" s="23"/>
      <c r="AA13" s="28"/>
      <c r="AB13" s="28"/>
      <c r="AC13" s="28"/>
      <c r="AD13" s="16"/>
      <c r="AE13" s="28"/>
      <c r="AF13" s="23"/>
      <c r="AG13" s="28"/>
      <c r="AH13" s="23"/>
      <c r="AI13" s="28"/>
      <c r="AJ13" s="16"/>
      <c r="AK13" s="28"/>
      <c r="AL13" s="16"/>
      <c r="AM13" s="28"/>
      <c r="AN13" s="16"/>
      <c r="AO13" s="28"/>
      <c r="AP13" s="16"/>
      <c r="AQ13" s="28"/>
      <c r="AR13" s="16"/>
      <c r="AS13" s="28"/>
      <c r="AT13" s="17"/>
      <c r="AU13" s="28"/>
      <c r="AV13" s="17"/>
      <c r="AW13" s="17"/>
      <c r="AX13" s="18"/>
    </row>
    <row r="14" spans="1:55" ht="10.5" customHeight="1">
      <c r="A14" s="16"/>
      <c r="B14" s="42"/>
      <c r="C14" s="42"/>
      <c r="D14" s="63" t="s">
        <v>299</v>
      </c>
      <c r="E14" s="28"/>
      <c r="F14" s="134"/>
      <c r="G14" s="28"/>
      <c r="H14" s="134"/>
      <c r="I14" s="28"/>
      <c r="J14" s="134"/>
      <c r="K14" s="28"/>
      <c r="L14" s="134"/>
      <c r="M14" s="28"/>
      <c r="N14" s="134"/>
      <c r="O14" s="28"/>
      <c r="P14" s="134"/>
      <c r="Q14" s="28"/>
      <c r="R14" s="134"/>
      <c r="S14" s="28"/>
      <c r="T14" s="134"/>
      <c r="U14" s="28"/>
      <c r="V14" s="134"/>
      <c r="W14" s="28"/>
      <c r="X14" s="134"/>
      <c r="Y14" s="28"/>
      <c r="Z14" s="23"/>
      <c r="AA14" s="28"/>
      <c r="AB14" s="28"/>
      <c r="AC14" s="28"/>
      <c r="AD14" s="16"/>
      <c r="AE14" s="28"/>
      <c r="AF14" s="23"/>
      <c r="AG14" s="28"/>
      <c r="AH14" s="23"/>
      <c r="AI14" s="28"/>
      <c r="AJ14" s="16"/>
      <c r="AK14" s="28"/>
      <c r="AL14" s="16"/>
      <c r="AM14" s="28"/>
      <c r="AN14" s="16"/>
      <c r="AO14" s="28"/>
      <c r="AP14" s="16"/>
      <c r="AQ14" s="28"/>
      <c r="AR14" s="16"/>
      <c r="AS14" s="28"/>
      <c r="AT14" s="75"/>
      <c r="AU14" s="28"/>
      <c r="AV14" s="75"/>
      <c r="AW14" s="75"/>
      <c r="AX14" s="63" t="s">
        <v>300</v>
      </c>
    </row>
    <row r="15" spans="1:55" ht="6.6" customHeight="1">
      <c r="A15" s="16"/>
      <c r="B15" s="42"/>
      <c r="C15" s="42"/>
      <c r="D15" s="16"/>
      <c r="E15" s="28"/>
      <c r="F15" s="134"/>
      <c r="G15" s="28"/>
      <c r="H15" s="134"/>
      <c r="I15" s="28"/>
      <c r="J15" s="134"/>
      <c r="K15" s="28"/>
      <c r="L15" s="134"/>
      <c r="M15" s="28"/>
      <c r="N15" s="134"/>
      <c r="O15" s="28"/>
      <c r="P15" s="134"/>
      <c r="Q15" s="28"/>
      <c r="R15" s="134"/>
      <c r="S15" s="28"/>
      <c r="T15" s="134"/>
      <c r="U15" s="28"/>
      <c r="V15" s="134"/>
      <c r="W15" s="28"/>
      <c r="X15" s="134"/>
      <c r="Y15" s="28"/>
      <c r="Z15" s="23"/>
      <c r="AA15" s="28"/>
      <c r="AB15" s="28"/>
      <c r="AC15" s="28"/>
      <c r="AD15" s="16"/>
      <c r="AE15" s="28"/>
      <c r="AF15" s="23"/>
      <c r="AG15" s="28"/>
      <c r="AH15" s="23"/>
      <c r="AI15" s="28"/>
      <c r="AJ15" s="16"/>
      <c r="AK15" s="28"/>
      <c r="AL15" s="16"/>
      <c r="AM15" s="28"/>
      <c r="AN15" s="16"/>
      <c r="AO15" s="28"/>
      <c r="AP15" s="16"/>
      <c r="AQ15" s="28"/>
      <c r="AR15" s="16"/>
      <c r="AS15" s="28"/>
      <c r="AT15" s="17"/>
      <c r="AU15" s="28"/>
      <c r="AV15" s="17"/>
      <c r="AW15" s="17"/>
      <c r="AX15" s="16"/>
    </row>
    <row r="16" spans="1:55" ht="10.5" customHeight="1">
      <c r="A16" s="16"/>
      <c r="B16" s="42">
        <v>4</v>
      </c>
      <c r="C16" s="42"/>
      <c r="D16" s="16" t="s">
        <v>301</v>
      </c>
      <c r="E16" s="28">
        <v>402</v>
      </c>
      <c r="F16" s="134"/>
      <c r="G16" s="28">
        <v>402</v>
      </c>
      <c r="H16" s="134"/>
      <c r="I16" s="28">
        <v>401</v>
      </c>
      <c r="J16" s="134"/>
      <c r="K16" s="28">
        <v>406</v>
      </c>
      <c r="L16" s="134"/>
      <c r="M16" s="28">
        <v>415</v>
      </c>
      <c r="N16" s="134"/>
      <c r="O16" s="28">
        <v>414</v>
      </c>
      <c r="P16" s="134"/>
      <c r="Q16" s="28">
        <v>425</v>
      </c>
      <c r="R16" s="134"/>
      <c r="S16" s="28">
        <v>424</v>
      </c>
      <c r="T16" s="134"/>
      <c r="U16" s="28">
        <v>431</v>
      </c>
      <c r="V16" s="134"/>
      <c r="W16" s="28">
        <v>444</v>
      </c>
      <c r="X16" s="134"/>
      <c r="Y16" s="28">
        <v>458</v>
      </c>
      <c r="Z16" s="23"/>
      <c r="AA16" s="28">
        <v>470</v>
      </c>
      <c r="AB16" s="28"/>
      <c r="AC16" s="28">
        <v>455</v>
      </c>
      <c r="AD16" s="16"/>
      <c r="AE16" s="28">
        <v>436</v>
      </c>
      <c r="AF16" s="23"/>
      <c r="AG16" s="28">
        <v>441</v>
      </c>
      <c r="AH16" s="23"/>
      <c r="AI16" s="28">
        <v>435</v>
      </c>
      <c r="AJ16" s="16"/>
      <c r="AK16" s="28">
        <v>427</v>
      </c>
      <c r="AL16" s="16"/>
      <c r="AM16" s="28">
        <v>430</v>
      </c>
      <c r="AN16" s="16"/>
      <c r="AO16" s="28">
        <v>440</v>
      </c>
      <c r="AP16" s="16"/>
      <c r="AQ16" s="28">
        <v>432</v>
      </c>
      <c r="AR16" s="16"/>
      <c r="AS16" s="262">
        <v>439</v>
      </c>
      <c r="AT16" s="17"/>
      <c r="AU16" s="262">
        <v>453</v>
      </c>
      <c r="AV16" s="17"/>
      <c r="AW16" s="17"/>
      <c r="AX16" s="16" t="s">
        <v>302</v>
      </c>
      <c r="AY16" s="322"/>
    </row>
    <row r="17" spans="1:52" ht="10.5" customHeight="1">
      <c r="A17" s="16"/>
      <c r="B17" s="42">
        <v>5</v>
      </c>
      <c r="C17" s="42"/>
      <c r="D17" s="16" t="s">
        <v>303</v>
      </c>
      <c r="E17" s="28">
        <v>201</v>
      </c>
      <c r="F17" s="134"/>
      <c r="G17" s="28">
        <v>202</v>
      </c>
      <c r="H17" s="134"/>
      <c r="I17" s="28">
        <v>193</v>
      </c>
      <c r="J17" s="134"/>
      <c r="K17" s="28">
        <v>188</v>
      </c>
      <c r="L17" s="134"/>
      <c r="M17" s="28">
        <v>196</v>
      </c>
      <c r="N17" s="134"/>
      <c r="O17" s="28">
        <v>207</v>
      </c>
      <c r="P17" s="134"/>
      <c r="Q17" s="28">
        <v>214</v>
      </c>
      <c r="R17" s="134"/>
      <c r="S17" s="28">
        <v>213</v>
      </c>
      <c r="T17" s="134"/>
      <c r="U17" s="28">
        <v>222</v>
      </c>
      <c r="V17" s="134"/>
      <c r="W17" s="28">
        <v>218</v>
      </c>
      <c r="X17" s="134"/>
      <c r="Y17" s="28">
        <v>219</v>
      </c>
      <c r="Z17" s="23"/>
      <c r="AA17" s="28">
        <v>221</v>
      </c>
      <c r="AB17" s="28"/>
      <c r="AC17" s="28">
        <v>219</v>
      </c>
      <c r="AD17" s="16"/>
      <c r="AE17" s="28">
        <v>211</v>
      </c>
      <c r="AF17" s="23"/>
      <c r="AG17" s="28">
        <v>207</v>
      </c>
      <c r="AH17" s="23"/>
      <c r="AI17" s="28">
        <v>187</v>
      </c>
      <c r="AJ17" s="16"/>
      <c r="AK17" s="28">
        <v>194</v>
      </c>
      <c r="AL17" s="16"/>
      <c r="AM17" s="28">
        <v>191</v>
      </c>
      <c r="AN17" s="16"/>
      <c r="AO17" s="28">
        <v>211</v>
      </c>
      <c r="AP17" s="16"/>
      <c r="AQ17" s="28">
        <v>185</v>
      </c>
      <c r="AR17" s="16"/>
      <c r="AS17" s="28">
        <v>181</v>
      </c>
      <c r="AT17" s="17"/>
      <c r="AU17" s="28">
        <v>179</v>
      </c>
      <c r="AV17" s="17"/>
      <c r="AW17" s="17"/>
      <c r="AX17" s="16" t="s">
        <v>304</v>
      </c>
    </row>
    <row r="18" spans="1:52" ht="10.5" customHeight="1">
      <c r="A18" s="16"/>
      <c r="B18" s="42">
        <v>6</v>
      </c>
      <c r="C18" s="42"/>
      <c r="D18" s="16" t="s">
        <v>305</v>
      </c>
      <c r="E18" s="75" t="s">
        <v>77</v>
      </c>
      <c r="F18" s="134"/>
      <c r="G18" s="75" t="s">
        <v>77</v>
      </c>
      <c r="H18" s="134"/>
      <c r="I18" s="75" t="s">
        <v>77</v>
      </c>
      <c r="J18" s="134"/>
      <c r="K18" s="75" t="s">
        <v>77</v>
      </c>
      <c r="L18" s="23"/>
      <c r="M18" s="75" t="s">
        <v>77</v>
      </c>
      <c r="N18" s="134"/>
      <c r="O18" s="75" t="s">
        <v>77</v>
      </c>
      <c r="P18" s="134"/>
      <c r="Q18" s="75" t="s">
        <v>77</v>
      </c>
      <c r="R18" s="134"/>
      <c r="S18" s="75" t="s">
        <v>77</v>
      </c>
      <c r="T18" s="134"/>
      <c r="U18" s="75" t="s">
        <v>77</v>
      </c>
      <c r="V18" s="134"/>
      <c r="W18" s="75" t="s">
        <v>77</v>
      </c>
      <c r="X18" s="134"/>
      <c r="Y18" s="75" t="s">
        <v>77</v>
      </c>
      <c r="Z18" s="23"/>
      <c r="AA18" s="75" t="s">
        <v>77</v>
      </c>
      <c r="AB18" s="75"/>
      <c r="AC18" s="75" t="s">
        <v>77</v>
      </c>
      <c r="AD18" s="16"/>
      <c r="AE18" s="75" t="s">
        <v>77</v>
      </c>
      <c r="AF18" s="23"/>
      <c r="AG18" s="75" t="s">
        <v>77</v>
      </c>
      <c r="AH18" s="23"/>
      <c r="AI18" s="75" t="s">
        <v>77</v>
      </c>
      <c r="AJ18" s="16"/>
      <c r="AK18" s="75" t="s">
        <v>77</v>
      </c>
      <c r="AL18" s="16"/>
      <c r="AM18" s="75" t="s">
        <v>77</v>
      </c>
      <c r="AN18" s="16"/>
      <c r="AO18" s="75" t="s">
        <v>77</v>
      </c>
      <c r="AP18" s="16"/>
      <c r="AQ18" s="75" t="s">
        <v>77</v>
      </c>
      <c r="AR18" s="16"/>
      <c r="AS18" s="75" t="s">
        <v>77</v>
      </c>
      <c r="AT18" s="17"/>
      <c r="AU18" s="75" t="s">
        <v>77</v>
      </c>
      <c r="AV18" s="17"/>
      <c r="AW18" s="17"/>
      <c r="AX18" s="16" t="s">
        <v>306</v>
      </c>
    </row>
    <row r="19" spans="1:52" ht="10.5" customHeight="1">
      <c r="A19" s="16"/>
      <c r="B19" s="42">
        <v>7</v>
      </c>
      <c r="C19" s="42"/>
      <c r="D19" s="16" t="s">
        <v>307</v>
      </c>
      <c r="E19" s="28">
        <v>88</v>
      </c>
      <c r="F19" s="134"/>
      <c r="G19" s="28">
        <v>70</v>
      </c>
      <c r="H19" s="134"/>
      <c r="I19" s="28">
        <v>69</v>
      </c>
      <c r="J19" s="134"/>
      <c r="K19" s="28">
        <v>70</v>
      </c>
      <c r="L19" s="134"/>
      <c r="M19" s="28">
        <v>67</v>
      </c>
      <c r="N19" s="134"/>
      <c r="O19" s="28">
        <v>66</v>
      </c>
      <c r="P19" s="134"/>
      <c r="Q19" s="28">
        <v>64</v>
      </c>
      <c r="R19" s="134"/>
      <c r="S19" s="28">
        <v>56</v>
      </c>
      <c r="T19" s="134"/>
      <c r="U19" s="28">
        <v>56</v>
      </c>
      <c r="V19" s="134"/>
      <c r="W19" s="28">
        <v>56</v>
      </c>
      <c r="X19" s="134"/>
      <c r="Y19" s="28">
        <v>58</v>
      </c>
      <c r="Z19" s="23"/>
      <c r="AA19" s="28">
        <v>51</v>
      </c>
      <c r="AB19" s="28"/>
      <c r="AC19" s="28">
        <v>50</v>
      </c>
      <c r="AD19" s="16"/>
      <c r="AE19" s="28">
        <v>18</v>
      </c>
      <c r="AF19" s="23"/>
      <c r="AG19" s="28">
        <v>20</v>
      </c>
      <c r="AH19" s="23"/>
      <c r="AI19" s="28">
        <v>18</v>
      </c>
      <c r="AJ19" s="16"/>
      <c r="AK19" s="28">
        <v>20</v>
      </c>
      <c r="AL19" s="16"/>
      <c r="AM19" s="28">
        <v>20</v>
      </c>
      <c r="AN19" s="16"/>
      <c r="AO19" s="28">
        <v>21</v>
      </c>
      <c r="AP19" s="16"/>
      <c r="AQ19" s="28">
        <v>46</v>
      </c>
      <c r="AR19" s="16"/>
      <c r="AS19" s="28">
        <v>54</v>
      </c>
      <c r="AT19" s="17"/>
      <c r="AU19" s="28">
        <v>47</v>
      </c>
      <c r="AV19" s="17"/>
      <c r="AW19" s="17"/>
      <c r="AX19" s="16" t="s">
        <v>308</v>
      </c>
    </row>
    <row r="20" spans="1:52" ht="10.5" customHeight="1">
      <c r="A20" s="16"/>
      <c r="B20" s="42">
        <v>8</v>
      </c>
      <c r="C20" s="42"/>
      <c r="D20" s="18" t="s">
        <v>231</v>
      </c>
      <c r="E20" s="65">
        <v>691</v>
      </c>
      <c r="F20" s="132"/>
      <c r="G20" s="65">
        <v>674</v>
      </c>
      <c r="H20" s="132"/>
      <c r="I20" s="65">
        <v>663</v>
      </c>
      <c r="J20" s="132"/>
      <c r="K20" s="65">
        <v>664</v>
      </c>
      <c r="L20" s="132"/>
      <c r="M20" s="65">
        <v>678</v>
      </c>
      <c r="N20" s="132"/>
      <c r="O20" s="65">
        <v>687</v>
      </c>
      <c r="P20" s="132"/>
      <c r="Q20" s="65">
        <v>703</v>
      </c>
      <c r="R20" s="132"/>
      <c r="S20" s="65">
        <v>693</v>
      </c>
      <c r="T20" s="132"/>
      <c r="U20" s="65">
        <v>709</v>
      </c>
      <c r="V20" s="132"/>
      <c r="W20" s="65">
        <v>718</v>
      </c>
      <c r="X20" s="132"/>
      <c r="Y20" s="65">
        <v>735</v>
      </c>
      <c r="Z20" s="67"/>
      <c r="AA20" s="65">
        <v>742</v>
      </c>
      <c r="AB20" s="65"/>
      <c r="AC20" s="65">
        <v>724</v>
      </c>
      <c r="AD20" s="18"/>
      <c r="AE20" s="65">
        <v>665</v>
      </c>
      <c r="AF20" s="23"/>
      <c r="AG20" s="65">
        <v>668</v>
      </c>
      <c r="AH20" s="23"/>
      <c r="AI20" s="65">
        <v>640</v>
      </c>
      <c r="AJ20" s="18"/>
      <c r="AK20" s="65">
        <v>641</v>
      </c>
      <c r="AL20" s="18"/>
      <c r="AM20" s="65">
        <v>641</v>
      </c>
      <c r="AN20" s="18"/>
      <c r="AO20" s="261">
        <v>672</v>
      </c>
      <c r="AP20" s="18"/>
      <c r="AQ20" s="65">
        <v>663</v>
      </c>
      <c r="AR20" s="18"/>
      <c r="AS20" s="65">
        <v>674</v>
      </c>
      <c r="AT20" s="66"/>
      <c r="AU20" s="65">
        <v>679</v>
      </c>
      <c r="AV20" s="66"/>
      <c r="AW20" s="66"/>
      <c r="AX20" s="18" t="s">
        <v>84</v>
      </c>
      <c r="AY20" s="82"/>
    </row>
    <row r="21" spans="1:52" ht="6.6" customHeight="1">
      <c r="A21" s="16"/>
      <c r="B21" s="34"/>
      <c r="C21" s="34"/>
      <c r="D21" s="56"/>
      <c r="E21" s="71"/>
      <c r="F21" s="135"/>
      <c r="G21" s="71"/>
      <c r="H21" s="135"/>
      <c r="I21" s="71"/>
      <c r="J21" s="135"/>
      <c r="K21" s="71"/>
      <c r="L21" s="135"/>
      <c r="M21" s="71"/>
      <c r="N21" s="135"/>
      <c r="O21" s="71"/>
      <c r="P21" s="135"/>
      <c r="Q21" s="71"/>
      <c r="R21" s="135"/>
      <c r="S21" s="71"/>
      <c r="T21" s="135"/>
      <c r="U21" s="71"/>
      <c r="V21" s="135"/>
      <c r="W21" s="71"/>
      <c r="X21" s="135"/>
      <c r="Y21" s="71"/>
      <c r="Z21" s="40"/>
      <c r="AA21" s="71"/>
      <c r="AB21" s="71"/>
      <c r="AC21" s="71"/>
      <c r="AD21" s="70"/>
      <c r="AE21" s="71"/>
      <c r="AF21" s="70"/>
      <c r="AG21" s="71"/>
      <c r="AH21" s="70"/>
      <c r="AI21" s="71"/>
      <c r="AJ21" s="70"/>
      <c r="AK21" s="71"/>
      <c r="AL21" s="70"/>
      <c r="AM21" s="71"/>
      <c r="AN21" s="70"/>
      <c r="AO21" s="71"/>
      <c r="AP21" s="70"/>
      <c r="AQ21" s="71"/>
      <c r="AR21" s="70"/>
      <c r="AS21" s="41"/>
      <c r="AT21" s="41"/>
      <c r="AU21" s="41"/>
      <c r="AV21" s="41"/>
      <c r="AW21" s="41"/>
      <c r="AX21" s="56"/>
    </row>
    <row r="22" spans="1:52" ht="6.6" customHeight="1">
      <c r="A22" s="16"/>
      <c r="B22" s="42"/>
      <c r="C22" s="42"/>
      <c r="D22" s="18"/>
      <c r="E22" s="28"/>
      <c r="F22" s="134"/>
      <c r="G22" s="28"/>
      <c r="H22" s="134"/>
      <c r="I22" s="28"/>
      <c r="J22" s="134"/>
      <c r="K22" s="28"/>
      <c r="L22" s="134"/>
      <c r="M22" s="28"/>
      <c r="N22" s="134"/>
      <c r="O22" s="28"/>
      <c r="P22" s="134"/>
      <c r="Q22" s="28"/>
      <c r="R22" s="134"/>
      <c r="S22" s="28"/>
      <c r="T22" s="134"/>
      <c r="U22" s="28"/>
      <c r="V22" s="134"/>
      <c r="W22" s="28"/>
      <c r="X22" s="134"/>
      <c r="Y22" s="28"/>
      <c r="Z22" s="23"/>
      <c r="AA22" s="28"/>
      <c r="AB22" s="28"/>
      <c r="AC22" s="28"/>
      <c r="AD22" s="16"/>
      <c r="AE22" s="28"/>
      <c r="AF22" s="16"/>
      <c r="AG22" s="28"/>
      <c r="AH22" s="16"/>
      <c r="AI22" s="28"/>
      <c r="AJ22" s="16"/>
      <c r="AK22" s="28"/>
      <c r="AL22" s="16"/>
      <c r="AM22" s="28"/>
      <c r="AN22" s="16"/>
      <c r="AO22" s="28"/>
      <c r="AP22" s="16"/>
      <c r="AQ22" s="28"/>
      <c r="AR22" s="16"/>
      <c r="AS22" s="17"/>
      <c r="AT22" s="17"/>
      <c r="AU22" s="17"/>
      <c r="AV22" s="17"/>
      <c r="AW22" s="17"/>
      <c r="AX22" s="18"/>
      <c r="AZ22" s="322"/>
    </row>
    <row r="23" spans="1:52" ht="10.5" customHeight="1">
      <c r="A23" s="16"/>
      <c r="B23" s="42"/>
      <c r="C23" s="42"/>
      <c r="D23" s="63" t="s">
        <v>295</v>
      </c>
      <c r="E23" s="28"/>
      <c r="F23" s="134"/>
      <c r="G23" s="28"/>
      <c r="H23" s="134"/>
      <c r="I23" s="28"/>
      <c r="J23" s="134"/>
      <c r="K23" s="28"/>
      <c r="L23" s="134"/>
      <c r="M23" s="28"/>
      <c r="N23" s="134"/>
      <c r="O23" s="28"/>
      <c r="P23" s="134"/>
      <c r="Q23" s="28"/>
      <c r="R23" s="134"/>
      <c r="S23" s="28"/>
      <c r="T23" s="134"/>
      <c r="U23" s="28"/>
      <c r="V23" s="134"/>
      <c r="W23" s="28"/>
      <c r="X23" s="134"/>
      <c r="Y23" s="28"/>
      <c r="Z23" s="23"/>
      <c r="AA23" s="28"/>
      <c r="AB23" s="28"/>
      <c r="AC23" s="28"/>
      <c r="AD23" s="16"/>
      <c r="AE23" s="28"/>
      <c r="AF23" s="16"/>
      <c r="AG23" s="28"/>
      <c r="AH23" s="16"/>
      <c r="AI23" s="28"/>
      <c r="AJ23" s="16"/>
      <c r="AK23" s="28"/>
      <c r="AL23" s="16"/>
      <c r="AM23" s="28"/>
      <c r="AN23" s="16"/>
      <c r="AO23" s="28"/>
      <c r="AP23" s="16"/>
      <c r="AQ23" s="28"/>
      <c r="AR23" s="16"/>
      <c r="AS23" s="17"/>
      <c r="AT23" s="17"/>
      <c r="AU23" s="17"/>
      <c r="AV23" s="17"/>
      <c r="AW23" s="17"/>
      <c r="AX23" s="63" t="s">
        <v>296</v>
      </c>
    </row>
    <row r="24" spans="1:52" ht="6.6" customHeight="1">
      <c r="A24" s="16"/>
      <c r="B24" s="42"/>
      <c r="C24" s="42"/>
      <c r="D24" s="16"/>
      <c r="E24" s="28"/>
      <c r="F24" s="134"/>
      <c r="G24" s="28"/>
      <c r="H24" s="134"/>
      <c r="I24" s="28"/>
      <c r="J24" s="134"/>
      <c r="K24" s="28"/>
      <c r="L24" s="134"/>
      <c r="M24" s="28"/>
      <c r="N24" s="134"/>
      <c r="O24" s="28"/>
      <c r="P24" s="134"/>
      <c r="Q24" s="28"/>
      <c r="R24" s="134"/>
      <c r="S24" s="28"/>
      <c r="T24" s="134"/>
      <c r="U24" s="28"/>
      <c r="V24" s="134"/>
      <c r="W24" s="28"/>
      <c r="X24" s="134"/>
      <c r="Y24" s="28"/>
      <c r="Z24" s="23"/>
      <c r="AA24" s="28"/>
      <c r="AB24" s="28"/>
      <c r="AC24" s="28"/>
      <c r="AD24" s="16"/>
      <c r="AE24" s="28"/>
      <c r="AF24" s="16"/>
      <c r="AG24" s="28"/>
      <c r="AH24" s="16"/>
      <c r="AI24" s="28"/>
      <c r="AJ24" s="16"/>
      <c r="AK24" s="28"/>
      <c r="AL24" s="16"/>
      <c r="AM24" s="28"/>
      <c r="AN24" s="16"/>
      <c r="AO24" s="28"/>
      <c r="AP24" s="16"/>
      <c r="AQ24" s="28"/>
      <c r="AR24" s="16"/>
      <c r="AS24" s="17"/>
      <c r="AT24" s="17"/>
      <c r="AU24" s="17"/>
      <c r="AV24" s="17"/>
      <c r="AW24" s="17"/>
      <c r="AX24" s="16"/>
    </row>
    <row r="25" spans="1:52" ht="10.5" customHeight="1">
      <c r="A25" s="16"/>
      <c r="B25" s="42">
        <v>9</v>
      </c>
      <c r="C25" s="42"/>
      <c r="D25" s="16" t="s">
        <v>301</v>
      </c>
      <c r="E25" s="28">
        <v>139</v>
      </c>
      <c r="F25" s="134"/>
      <c r="G25" s="28">
        <v>138</v>
      </c>
      <c r="H25" s="134"/>
      <c r="I25" s="28">
        <v>131</v>
      </c>
      <c r="J25" s="134"/>
      <c r="K25" s="28">
        <v>133</v>
      </c>
      <c r="L25" s="134"/>
      <c r="M25" s="28">
        <v>132</v>
      </c>
      <c r="N25" s="134"/>
      <c r="O25" s="28">
        <v>116</v>
      </c>
      <c r="P25" s="134"/>
      <c r="Q25" s="28">
        <v>121</v>
      </c>
      <c r="R25" s="134"/>
      <c r="S25" s="28">
        <v>116</v>
      </c>
      <c r="T25" s="134"/>
      <c r="U25" s="28">
        <v>115</v>
      </c>
      <c r="V25" s="134"/>
      <c r="W25" s="28">
        <v>119</v>
      </c>
      <c r="X25" s="134"/>
      <c r="Y25" s="28">
        <v>124</v>
      </c>
      <c r="Z25" s="23"/>
      <c r="AA25" s="28">
        <v>105</v>
      </c>
      <c r="AB25" s="28"/>
      <c r="AC25" s="28">
        <v>103</v>
      </c>
      <c r="AD25" s="16"/>
      <c r="AE25" s="28">
        <v>101</v>
      </c>
      <c r="AF25" s="16"/>
      <c r="AG25" s="28">
        <v>102</v>
      </c>
      <c r="AH25" s="16"/>
      <c r="AI25" s="28">
        <v>102</v>
      </c>
      <c r="AJ25" s="16"/>
      <c r="AK25" s="28">
        <v>103</v>
      </c>
      <c r="AL25" s="16"/>
      <c r="AM25" s="28">
        <v>107</v>
      </c>
      <c r="AN25" s="16"/>
      <c r="AO25" s="28">
        <v>108</v>
      </c>
      <c r="AP25" s="16"/>
      <c r="AQ25" s="28">
        <v>101</v>
      </c>
      <c r="AR25" s="16"/>
      <c r="AS25" s="17">
        <v>104</v>
      </c>
      <c r="AT25" s="17"/>
      <c r="AU25" s="17">
        <v>106</v>
      </c>
      <c r="AV25" s="17"/>
      <c r="AW25" s="17"/>
      <c r="AX25" s="16" t="s">
        <v>302</v>
      </c>
    </row>
    <row r="26" spans="1:52" ht="10.5" customHeight="1">
      <c r="A26" s="16"/>
      <c r="B26" s="42">
        <v>10</v>
      </c>
      <c r="C26" s="42"/>
      <c r="D26" s="16" t="s">
        <v>303</v>
      </c>
      <c r="E26" s="75">
        <v>1</v>
      </c>
      <c r="F26" s="134"/>
      <c r="G26" s="75" t="s">
        <v>77</v>
      </c>
      <c r="H26" s="134"/>
      <c r="I26" s="75" t="s">
        <v>77</v>
      </c>
      <c r="J26" s="134"/>
      <c r="K26" s="75" t="s">
        <v>77</v>
      </c>
      <c r="L26" s="134"/>
      <c r="M26" s="75" t="s">
        <v>77</v>
      </c>
      <c r="N26" s="23"/>
      <c r="O26" s="75">
        <v>2</v>
      </c>
      <c r="P26" s="134"/>
      <c r="Q26" s="75">
        <v>2</v>
      </c>
      <c r="R26" s="134"/>
      <c r="S26" s="75" t="s">
        <v>77</v>
      </c>
      <c r="T26" s="134"/>
      <c r="U26" s="75" t="s">
        <v>77</v>
      </c>
      <c r="V26" s="134"/>
      <c r="W26" s="75" t="s">
        <v>77</v>
      </c>
      <c r="X26" s="134"/>
      <c r="Y26" s="75" t="s">
        <v>77</v>
      </c>
      <c r="Z26" s="23"/>
      <c r="AA26" s="75" t="s">
        <v>77</v>
      </c>
      <c r="AB26" s="75"/>
      <c r="AC26" s="75" t="s">
        <v>77</v>
      </c>
      <c r="AD26" s="16"/>
      <c r="AE26" s="75" t="s">
        <v>77</v>
      </c>
      <c r="AF26" s="16"/>
      <c r="AG26" s="75" t="s">
        <v>77</v>
      </c>
      <c r="AH26" s="16"/>
      <c r="AI26" s="75" t="s">
        <v>77</v>
      </c>
      <c r="AJ26" s="16"/>
      <c r="AK26" s="75" t="s">
        <v>77</v>
      </c>
      <c r="AL26" s="16"/>
      <c r="AM26" s="75" t="s">
        <v>77</v>
      </c>
      <c r="AN26" s="16"/>
      <c r="AO26" s="75" t="s">
        <v>77</v>
      </c>
      <c r="AP26" s="16"/>
      <c r="AQ26" s="75" t="s">
        <v>77</v>
      </c>
      <c r="AR26" s="16"/>
      <c r="AS26" s="75" t="s">
        <v>77</v>
      </c>
      <c r="AT26" s="17"/>
      <c r="AU26" s="75" t="s">
        <v>77</v>
      </c>
      <c r="AV26" s="17"/>
      <c r="AW26" s="17"/>
      <c r="AX26" s="16" t="s">
        <v>304</v>
      </c>
    </row>
    <row r="27" spans="1:52" ht="10.5" customHeight="1">
      <c r="A27" s="16"/>
      <c r="B27" s="42">
        <v>11</v>
      </c>
      <c r="C27" s="42"/>
      <c r="D27" s="16" t="s">
        <v>305</v>
      </c>
      <c r="E27" s="75" t="s">
        <v>77</v>
      </c>
      <c r="F27" s="134"/>
      <c r="G27" s="75" t="s">
        <v>77</v>
      </c>
      <c r="H27" s="134"/>
      <c r="I27" s="75" t="s">
        <v>77</v>
      </c>
      <c r="J27" s="134"/>
      <c r="K27" s="75" t="s">
        <v>77</v>
      </c>
      <c r="L27" s="23"/>
      <c r="M27" s="75" t="s">
        <v>77</v>
      </c>
      <c r="N27" s="134"/>
      <c r="O27" s="75" t="s">
        <v>77</v>
      </c>
      <c r="P27" s="134"/>
      <c r="Q27" s="75" t="s">
        <v>77</v>
      </c>
      <c r="R27" s="134"/>
      <c r="S27" s="75" t="s">
        <v>77</v>
      </c>
      <c r="T27" s="23"/>
      <c r="U27" s="75" t="s">
        <v>77</v>
      </c>
      <c r="V27" s="134"/>
      <c r="W27" s="75" t="s">
        <v>77</v>
      </c>
      <c r="X27" s="134"/>
      <c r="Y27" s="75" t="s">
        <v>77</v>
      </c>
      <c r="Z27" s="23"/>
      <c r="AA27" s="75" t="s">
        <v>77</v>
      </c>
      <c r="AB27" s="75"/>
      <c r="AC27" s="75" t="s">
        <v>77</v>
      </c>
      <c r="AD27" s="16"/>
      <c r="AE27" s="75" t="s">
        <v>77</v>
      </c>
      <c r="AF27" s="16"/>
      <c r="AG27" s="75" t="s">
        <v>77</v>
      </c>
      <c r="AH27" s="16"/>
      <c r="AI27" s="75" t="s">
        <v>77</v>
      </c>
      <c r="AJ27" s="16"/>
      <c r="AK27" s="75" t="s">
        <v>77</v>
      </c>
      <c r="AL27" s="16"/>
      <c r="AM27" s="75" t="s">
        <v>77</v>
      </c>
      <c r="AN27" s="16"/>
      <c r="AO27" s="75" t="s">
        <v>77</v>
      </c>
      <c r="AP27" s="16"/>
      <c r="AQ27" s="75" t="s">
        <v>77</v>
      </c>
      <c r="AR27" s="16"/>
      <c r="AS27" s="75" t="s">
        <v>77</v>
      </c>
      <c r="AT27" s="17"/>
      <c r="AU27" s="75" t="s">
        <v>77</v>
      </c>
      <c r="AV27" s="17"/>
      <c r="AW27" s="17"/>
      <c r="AX27" s="16" t="s">
        <v>306</v>
      </c>
    </row>
    <row r="28" spans="1:52" ht="10.5" customHeight="1">
      <c r="A28" s="16"/>
      <c r="B28" s="42">
        <v>12</v>
      </c>
      <c r="C28" s="42"/>
      <c r="D28" s="16" t="s">
        <v>307</v>
      </c>
      <c r="E28" s="75" t="s">
        <v>77</v>
      </c>
      <c r="F28" s="134"/>
      <c r="G28" s="28">
        <v>1</v>
      </c>
      <c r="H28" s="134"/>
      <c r="I28" s="28">
        <v>1</v>
      </c>
      <c r="J28" s="134"/>
      <c r="K28" s="28">
        <v>1</v>
      </c>
      <c r="L28" s="134"/>
      <c r="M28" s="28">
        <v>1</v>
      </c>
      <c r="N28" s="134"/>
      <c r="O28" s="28">
        <v>1</v>
      </c>
      <c r="P28" s="134"/>
      <c r="Q28" s="28">
        <v>1</v>
      </c>
      <c r="R28" s="134"/>
      <c r="S28" s="28">
        <v>1</v>
      </c>
      <c r="T28" s="134"/>
      <c r="U28" s="28">
        <v>1</v>
      </c>
      <c r="V28" s="134"/>
      <c r="W28" s="28">
        <v>1</v>
      </c>
      <c r="X28" s="134"/>
      <c r="Y28" s="28">
        <v>1</v>
      </c>
      <c r="Z28" s="23"/>
      <c r="AA28" s="28">
        <v>1</v>
      </c>
      <c r="AB28" s="28"/>
      <c r="AC28" s="28">
        <v>1</v>
      </c>
      <c r="AD28" s="16"/>
      <c r="AE28" s="28">
        <v>1</v>
      </c>
      <c r="AF28" s="16"/>
      <c r="AG28" s="28">
        <v>3</v>
      </c>
      <c r="AH28" s="67"/>
      <c r="AI28" s="28">
        <v>3</v>
      </c>
      <c r="AJ28" s="16"/>
      <c r="AK28" s="28">
        <v>1</v>
      </c>
      <c r="AL28" s="16"/>
      <c r="AM28" s="28">
        <v>1</v>
      </c>
      <c r="AN28" s="16"/>
      <c r="AO28" s="28">
        <v>1</v>
      </c>
      <c r="AP28" s="16"/>
      <c r="AQ28" s="28">
        <v>1</v>
      </c>
      <c r="AR28" s="16"/>
      <c r="AS28" s="28">
        <v>1</v>
      </c>
      <c r="AT28" s="17"/>
      <c r="AU28" s="28">
        <v>1</v>
      </c>
      <c r="AV28" s="17"/>
      <c r="AW28" s="17"/>
      <c r="AX28" s="16" t="s">
        <v>308</v>
      </c>
    </row>
    <row r="29" spans="1:52" ht="10.5" customHeight="1">
      <c r="A29" s="16"/>
      <c r="B29" s="42">
        <v>13</v>
      </c>
      <c r="C29" s="42"/>
      <c r="D29" s="18" t="s">
        <v>231</v>
      </c>
      <c r="E29" s="65">
        <v>140</v>
      </c>
      <c r="F29" s="132"/>
      <c r="G29" s="65">
        <v>139</v>
      </c>
      <c r="H29" s="132"/>
      <c r="I29" s="65">
        <v>132</v>
      </c>
      <c r="J29" s="132"/>
      <c r="K29" s="65">
        <v>134</v>
      </c>
      <c r="L29" s="132"/>
      <c r="M29" s="65">
        <v>133</v>
      </c>
      <c r="N29" s="132"/>
      <c r="O29" s="65">
        <v>119</v>
      </c>
      <c r="P29" s="132"/>
      <c r="Q29" s="65">
        <v>124</v>
      </c>
      <c r="R29" s="132"/>
      <c r="S29" s="65">
        <v>117</v>
      </c>
      <c r="T29" s="132"/>
      <c r="U29" s="65">
        <v>116</v>
      </c>
      <c r="V29" s="132"/>
      <c r="W29" s="65">
        <v>120</v>
      </c>
      <c r="X29" s="132"/>
      <c r="Y29" s="65">
        <v>125</v>
      </c>
      <c r="Z29" s="67"/>
      <c r="AA29" s="65">
        <v>106</v>
      </c>
      <c r="AB29" s="65"/>
      <c r="AC29" s="65">
        <v>104</v>
      </c>
      <c r="AD29" s="18"/>
      <c r="AE29" s="65">
        <v>102</v>
      </c>
      <c r="AF29" s="18"/>
      <c r="AG29" s="65">
        <v>105</v>
      </c>
      <c r="AH29" s="67"/>
      <c r="AI29" s="65">
        <v>105</v>
      </c>
      <c r="AJ29" s="18"/>
      <c r="AK29" s="65">
        <v>104</v>
      </c>
      <c r="AL29" s="18"/>
      <c r="AM29" s="65">
        <v>108</v>
      </c>
      <c r="AN29" s="18"/>
      <c r="AO29" s="65">
        <v>109</v>
      </c>
      <c r="AP29" s="18"/>
      <c r="AQ29" s="65">
        <v>102</v>
      </c>
      <c r="AR29" s="18"/>
      <c r="AS29" s="66">
        <v>105</v>
      </c>
      <c r="AT29" s="66"/>
      <c r="AU29" s="66">
        <v>107</v>
      </c>
      <c r="AV29" s="66"/>
      <c r="AW29" s="66"/>
      <c r="AX29" s="18" t="s">
        <v>84</v>
      </c>
    </row>
    <row r="30" spans="1:52" ht="6" customHeight="1">
      <c r="A30" s="16"/>
      <c r="B30" s="34"/>
      <c r="C30" s="34"/>
      <c r="D30" s="56"/>
      <c r="E30" s="83"/>
      <c r="F30" s="136"/>
      <c r="G30" s="83"/>
      <c r="H30" s="136"/>
      <c r="I30" s="83"/>
      <c r="J30" s="136"/>
      <c r="K30" s="83"/>
      <c r="L30" s="136"/>
      <c r="M30" s="83"/>
      <c r="N30" s="136"/>
      <c r="O30" s="83"/>
      <c r="P30" s="136"/>
      <c r="Q30" s="83"/>
      <c r="R30" s="136"/>
      <c r="S30" s="83"/>
      <c r="T30" s="136"/>
      <c r="U30" s="83"/>
      <c r="V30" s="136"/>
      <c r="W30" s="83"/>
      <c r="X30" s="136"/>
      <c r="Y30" s="83"/>
      <c r="Z30" s="85"/>
      <c r="AA30" s="83"/>
      <c r="AB30" s="83"/>
      <c r="AC30" s="83"/>
      <c r="AD30" s="56"/>
      <c r="AE30" s="83"/>
      <c r="AF30" s="56"/>
      <c r="AG30" s="83"/>
      <c r="AH30" s="56"/>
      <c r="AI30" s="83"/>
      <c r="AJ30" s="56"/>
      <c r="AK30" s="83"/>
      <c r="AL30" s="56"/>
      <c r="AM30" s="83"/>
      <c r="AN30" s="56"/>
      <c r="AO30" s="83"/>
      <c r="AP30" s="56"/>
      <c r="AQ30" s="83"/>
      <c r="AR30" s="56"/>
      <c r="AS30" s="84"/>
      <c r="AT30" s="84"/>
      <c r="AU30" s="84"/>
      <c r="AV30" s="84"/>
      <c r="AW30" s="84"/>
      <c r="AX30" s="56"/>
    </row>
    <row r="31" spans="1:52" ht="6" customHeight="1">
      <c r="A31" s="16"/>
      <c r="B31" s="42"/>
      <c r="C31" s="42"/>
      <c r="D31" s="16"/>
      <c r="E31" s="28"/>
      <c r="F31" s="134"/>
      <c r="G31" s="28"/>
      <c r="H31" s="134"/>
      <c r="I31" s="28"/>
      <c r="J31" s="134"/>
      <c r="K31" s="28"/>
      <c r="L31" s="134"/>
      <c r="M31" s="28"/>
      <c r="N31" s="134"/>
      <c r="O31" s="28"/>
      <c r="P31" s="134"/>
      <c r="Q31" s="28"/>
      <c r="R31" s="134"/>
      <c r="S31" s="28"/>
      <c r="T31" s="134"/>
      <c r="U31" s="28"/>
      <c r="V31" s="134"/>
      <c r="W31" s="28"/>
      <c r="X31" s="134"/>
      <c r="Y31" s="28"/>
      <c r="Z31" s="23"/>
      <c r="AA31" s="28"/>
      <c r="AB31" s="28"/>
      <c r="AC31" s="28"/>
      <c r="AD31" s="16"/>
      <c r="AE31" s="28"/>
      <c r="AF31" s="16"/>
      <c r="AG31" s="28"/>
      <c r="AH31" s="16"/>
      <c r="AI31" s="28"/>
      <c r="AJ31" s="16"/>
      <c r="AK31" s="28"/>
      <c r="AL31" s="16"/>
      <c r="AM31" s="28"/>
      <c r="AN31" s="16"/>
      <c r="AO31" s="28"/>
      <c r="AP31" s="16"/>
      <c r="AQ31" s="28"/>
      <c r="AR31" s="16"/>
      <c r="AS31" s="17"/>
      <c r="AT31" s="17"/>
      <c r="AU31" s="17"/>
      <c r="AV31" s="17"/>
      <c r="AW31" s="17"/>
      <c r="AX31" s="16"/>
    </row>
    <row r="32" spans="1:52" ht="10.5" customHeight="1">
      <c r="A32" s="16"/>
      <c r="B32" s="42"/>
      <c r="C32" s="42"/>
      <c r="D32" s="63" t="s">
        <v>297</v>
      </c>
      <c r="E32" s="28"/>
      <c r="F32" s="134"/>
      <c r="G32" s="28"/>
      <c r="H32" s="134"/>
      <c r="I32" s="28"/>
      <c r="J32" s="134"/>
      <c r="K32" s="28"/>
      <c r="L32" s="134"/>
      <c r="M32" s="28"/>
      <c r="N32" s="134"/>
      <c r="O32" s="28"/>
      <c r="P32" s="134"/>
      <c r="Q32" s="28"/>
      <c r="R32" s="134"/>
      <c r="S32" s="28"/>
      <c r="T32" s="134"/>
      <c r="U32" s="28"/>
      <c r="V32" s="134"/>
      <c r="W32" s="28"/>
      <c r="X32" s="134"/>
      <c r="Y32" s="28"/>
      <c r="Z32" s="23"/>
      <c r="AA32" s="28"/>
      <c r="AB32" s="28"/>
      <c r="AC32" s="28"/>
      <c r="AD32" s="16"/>
      <c r="AE32" s="28"/>
      <c r="AF32" s="16"/>
      <c r="AG32" s="28"/>
      <c r="AH32" s="16"/>
      <c r="AI32" s="28"/>
      <c r="AJ32" s="16"/>
      <c r="AK32" s="28"/>
      <c r="AL32" s="16"/>
      <c r="AM32" s="28"/>
      <c r="AN32" s="16"/>
      <c r="AO32" s="28"/>
      <c r="AP32" s="16"/>
      <c r="AQ32" s="28"/>
      <c r="AR32" s="16"/>
      <c r="AS32" s="17"/>
      <c r="AT32" s="17"/>
      <c r="AU32" s="17"/>
      <c r="AV32" s="17"/>
      <c r="AW32" s="17"/>
      <c r="AX32" s="63" t="s">
        <v>298</v>
      </c>
    </row>
    <row r="33" spans="1:51" ht="6.6" customHeight="1">
      <c r="A33" s="16"/>
      <c r="B33" s="42"/>
      <c r="C33" s="42"/>
      <c r="D33" s="16"/>
      <c r="E33" s="28"/>
      <c r="F33" s="134"/>
      <c r="G33" s="28"/>
      <c r="H33" s="134"/>
      <c r="I33" s="28"/>
      <c r="J33" s="134"/>
      <c r="K33" s="28"/>
      <c r="L33" s="134"/>
      <c r="M33" s="28"/>
      <c r="N33" s="134"/>
      <c r="O33" s="28"/>
      <c r="P33" s="134"/>
      <c r="Q33" s="28"/>
      <c r="R33" s="134"/>
      <c r="S33" s="28"/>
      <c r="T33" s="134"/>
      <c r="U33" s="28"/>
      <c r="V33" s="134"/>
      <c r="W33" s="28"/>
      <c r="X33" s="134"/>
      <c r="Y33" s="28"/>
      <c r="Z33" s="23"/>
      <c r="AA33" s="28"/>
      <c r="AB33" s="28"/>
      <c r="AC33" s="28"/>
      <c r="AD33" s="16"/>
      <c r="AE33" s="28"/>
      <c r="AF33" s="16"/>
      <c r="AG33" s="28"/>
      <c r="AH33" s="16"/>
      <c r="AI33" s="28"/>
      <c r="AJ33" s="16"/>
      <c r="AK33" s="28"/>
      <c r="AL33" s="16"/>
      <c r="AM33" s="28"/>
      <c r="AN33" s="16"/>
      <c r="AO33" s="28"/>
      <c r="AP33" s="16"/>
      <c r="AQ33" s="28"/>
      <c r="AR33" s="16"/>
      <c r="AS33" s="17"/>
      <c r="AT33" s="17"/>
      <c r="AU33" s="17"/>
      <c r="AV33" s="17"/>
      <c r="AW33" s="17"/>
      <c r="AX33" s="16"/>
    </row>
    <row r="34" spans="1:51" ht="10.5" customHeight="1">
      <c r="A34" s="16"/>
      <c r="B34" s="42">
        <v>14</v>
      </c>
      <c r="C34" s="42"/>
      <c r="D34" s="16" t="s">
        <v>301</v>
      </c>
      <c r="E34" s="28">
        <v>263</v>
      </c>
      <c r="F34" s="134"/>
      <c r="G34" s="28">
        <v>264</v>
      </c>
      <c r="H34" s="134"/>
      <c r="I34" s="28">
        <v>270</v>
      </c>
      <c r="J34" s="134"/>
      <c r="K34" s="28">
        <v>273</v>
      </c>
      <c r="L34" s="134"/>
      <c r="M34" s="28">
        <v>283</v>
      </c>
      <c r="N34" s="134"/>
      <c r="O34" s="28">
        <v>298</v>
      </c>
      <c r="P34" s="134"/>
      <c r="Q34" s="28">
        <v>304</v>
      </c>
      <c r="R34" s="134"/>
      <c r="S34" s="28">
        <v>308</v>
      </c>
      <c r="T34" s="134"/>
      <c r="U34" s="28">
        <v>316</v>
      </c>
      <c r="V34" s="134"/>
      <c r="W34" s="28">
        <v>325</v>
      </c>
      <c r="X34" s="134"/>
      <c r="Y34" s="28">
        <v>334</v>
      </c>
      <c r="Z34" s="23"/>
      <c r="AA34" s="28">
        <v>365</v>
      </c>
      <c r="AB34" s="28"/>
      <c r="AC34" s="28">
        <v>352</v>
      </c>
      <c r="AD34" s="16"/>
      <c r="AE34" s="28">
        <v>335</v>
      </c>
      <c r="AF34" s="23"/>
      <c r="AG34" s="28">
        <v>339</v>
      </c>
      <c r="AH34" s="23"/>
      <c r="AI34" s="28">
        <v>333</v>
      </c>
      <c r="AJ34" s="16"/>
      <c r="AK34" s="28">
        <v>324</v>
      </c>
      <c r="AL34" s="16"/>
      <c r="AM34" s="28">
        <v>323</v>
      </c>
      <c r="AN34" s="16"/>
      <c r="AO34" s="28">
        <v>332</v>
      </c>
      <c r="AP34" s="16"/>
      <c r="AQ34" s="28">
        <v>331</v>
      </c>
      <c r="AR34" s="16"/>
      <c r="AS34" s="17">
        <v>335</v>
      </c>
      <c r="AT34" s="17"/>
      <c r="AU34" s="17">
        <v>347</v>
      </c>
      <c r="AV34" s="17"/>
      <c r="AW34" s="17"/>
      <c r="AX34" s="16" t="s">
        <v>302</v>
      </c>
    </row>
    <row r="35" spans="1:51" ht="10.5" customHeight="1">
      <c r="A35" s="16"/>
      <c r="B35" s="42">
        <v>15</v>
      </c>
      <c r="C35" s="42"/>
      <c r="D35" s="16" t="s">
        <v>303</v>
      </c>
      <c r="E35" s="28">
        <v>200</v>
      </c>
      <c r="F35" s="134"/>
      <c r="G35" s="28">
        <v>202</v>
      </c>
      <c r="H35" s="134"/>
      <c r="I35" s="28">
        <v>193</v>
      </c>
      <c r="J35" s="134"/>
      <c r="K35" s="28">
        <v>188</v>
      </c>
      <c r="L35" s="134"/>
      <c r="M35" s="28">
        <v>196</v>
      </c>
      <c r="N35" s="134"/>
      <c r="O35" s="28">
        <v>205</v>
      </c>
      <c r="P35" s="134"/>
      <c r="Q35" s="28">
        <v>212</v>
      </c>
      <c r="R35" s="134"/>
      <c r="S35" s="28">
        <v>213</v>
      </c>
      <c r="T35" s="134"/>
      <c r="U35" s="28">
        <v>222</v>
      </c>
      <c r="V35" s="134"/>
      <c r="W35" s="28">
        <v>218</v>
      </c>
      <c r="X35" s="134"/>
      <c r="Y35" s="28">
        <v>219</v>
      </c>
      <c r="Z35" s="23"/>
      <c r="AA35" s="28">
        <v>221</v>
      </c>
      <c r="AB35" s="28"/>
      <c r="AC35" s="28">
        <v>219</v>
      </c>
      <c r="AD35" s="16"/>
      <c r="AE35" s="28">
        <v>211</v>
      </c>
      <c r="AF35" s="23"/>
      <c r="AG35" s="28">
        <v>207</v>
      </c>
      <c r="AH35" s="23"/>
      <c r="AI35" s="28">
        <v>187</v>
      </c>
      <c r="AJ35" s="16"/>
      <c r="AK35" s="28">
        <v>194</v>
      </c>
      <c r="AL35" s="16"/>
      <c r="AM35" s="28">
        <v>191</v>
      </c>
      <c r="AN35" s="16"/>
      <c r="AO35" s="28">
        <v>211</v>
      </c>
      <c r="AP35" s="16"/>
      <c r="AQ35" s="28">
        <v>185</v>
      </c>
      <c r="AR35" s="16"/>
      <c r="AS35" s="17">
        <v>181</v>
      </c>
      <c r="AT35" s="17"/>
      <c r="AU35" s="17">
        <v>179</v>
      </c>
      <c r="AV35" s="17"/>
      <c r="AW35" s="17"/>
      <c r="AX35" s="16" t="s">
        <v>304</v>
      </c>
    </row>
    <row r="36" spans="1:51" ht="10.5" customHeight="1">
      <c r="A36" s="16"/>
      <c r="B36" s="42">
        <v>16</v>
      </c>
      <c r="C36" s="42"/>
      <c r="D36" s="16" t="s">
        <v>305</v>
      </c>
      <c r="E36" s="75" t="s">
        <v>77</v>
      </c>
      <c r="F36" s="134"/>
      <c r="G36" s="75" t="s">
        <v>77</v>
      </c>
      <c r="H36" s="134"/>
      <c r="I36" s="75" t="s">
        <v>77</v>
      </c>
      <c r="J36" s="134"/>
      <c r="K36" s="75" t="s">
        <v>77</v>
      </c>
      <c r="L36" s="23"/>
      <c r="M36" s="75" t="s">
        <v>77</v>
      </c>
      <c r="N36" s="134"/>
      <c r="O36" s="75" t="s">
        <v>77</v>
      </c>
      <c r="P36" s="23"/>
      <c r="Q36" s="75" t="s">
        <v>77</v>
      </c>
      <c r="R36" s="134"/>
      <c r="S36" s="75" t="s">
        <v>77</v>
      </c>
      <c r="T36" s="134"/>
      <c r="U36" s="75" t="s">
        <v>77</v>
      </c>
      <c r="V36" s="134"/>
      <c r="W36" s="75" t="s">
        <v>77</v>
      </c>
      <c r="X36" s="134"/>
      <c r="Y36" s="75" t="s">
        <v>77</v>
      </c>
      <c r="Z36" s="23"/>
      <c r="AA36" s="75" t="s">
        <v>77</v>
      </c>
      <c r="AB36" s="75"/>
      <c r="AC36" s="75" t="s">
        <v>77</v>
      </c>
      <c r="AD36" s="16"/>
      <c r="AE36" s="75" t="s">
        <v>77</v>
      </c>
      <c r="AF36" s="23"/>
      <c r="AG36" s="75" t="s">
        <v>77</v>
      </c>
      <c r="AH36" s="23"/>
      <c r="AI36" s="75" t="s">
        <v>77</v>
      </c>
      <c r="AJ36" s="16"/>
      <c r="AK36" s="75" t="s">
        <v>77</v>
      </c>
      <c r="AL36" s="16"/>
      <c r="AM36" s="75" t="s">
        <v>77</v>
      </c>
      <c r="AN36" s="16"/>
      <c r="AO36" s="75" t="s">
        <v>77</v>
      </c>
      <c r="AP36" s="16"/>
      <c r="AQ36" s="75" t="s">
        <v>77</v>
      </c>
      <c r="AR36" s="16"/>
      <c r="AS36" s="75" t="s">
        <v>77</v>
      </c>
      <c r="AT36" s="17"/>
      <c r="AU36" s="75" t="s">
        <v>77</v>
      </c>
      <c r="AV36" s="17"/>
      <c r="AW36" s="17"/>
      <c r="AX36" s="16" t="s">
        <v>306</v>
      </c>
    </row>
    <row r="37" spans="1:51" ht="10.5" customHeight="1">
      <c r="A37" s="16"/>
      <c r="B37" s="42">
        <v>17</v>
      </c>
      <c r="C37" s="42"/>
      <c r="D37" s="16" t="s">
        <v>307</v>
      </c>
      <c r="E37" s="28">
        <v>88</v>
      </c>
      <c r="F37" s="134"/>
      <c r="G37" s="28">
        <v>69</v>
      </c>
      <c r="H37" s="134"/>
      <c r="I37" s="28">
        <v>68</v>
      </c>
      <c r="J37" s="134"/>
      <c r="K37" s="28">
        <v>69</v>
      </c>
      <c r="L37" s="134"/>
      <c r="M37" s="28">
        <v>66</v>
      </c>
      <c r="N37" s="134"/>
      <c r="O37" s="28">
        <v>65</v>
      </c>
      <c r="P37" s="134"/>
      <c r="Q37" s="28">
        <v>63</v>
      </c>
      <c r="R37" s="134"/>
      <c r="S37" s="28">
        <v>55</v>
      </c>
      <c r="T37" s="134"/>
      <c r="U37" s="28">
        <v>55</v>
      </c>
      <c r="V37" s="134"/>
      <c r="W37" s="28">
        <v>55</v>
      </c>
      <c r="X37" s="134"/>
      <c r="Y37" s="28">
        <v>57</v>
      </c>
      <c r="Z37" s="23"/>
      <c r="AA37" s="28">
        <v>50</v>
      </c>
      <c r="AB37" s="28"/>
      <c r="AC37" s="28">
        <v>49</v>
      </c>
      <c r="AD37" s="16"/>
      <c r="AE37" s="28">
        <v>17</v>
      </c>
      <c r="AF37" s="23"/>
      <c r="AG37" s="28">
        <v>17</v>
      </c>
      <c r="AH37" s="23"/>
      <c r="AI37" s="28">
        <v>15</v>
      </c>
      <c r="AJ37" s="16"/>
      <c r="AK37" s="28">
        <v>19</v>
      </c>
      <c r="AL37" s="16"/>
      <c r="AM37" s="28">
        <v>19</v>
      </c>
      <c r="AN37" s="16"/>
      <c r="AO37" s="28">
        <v>20</v>
      </c>
      <c r="AP37" s="16"/>
      <c r="AQ37" s="28">
        <v>45</v>
      </c>
      <c r="AR37" s="16"/>
      <c r="AS37" s="17">
        <v>53</v>
      </c>
      <c r="AT37" s="17"/>
      <c r="AU37" s="17">
        <v>46</v>
      </c>
      <c r="AV37" s="17"/>
      <c r="AW37" s="17"/>
      <c r="AX37" s="16" t="s">
        <v>308</v>
      </c>
      <c r="AY37" s="392"/>
    </row>
    <row r="38" spans="1:51" ht="10.5" customHeight="1">
      <c r="A38" s="16"/>
      <c r="B38" s="42">
        <v>18</v>
      </c>
      <c r="C38" s="42"/>
      <c r="D38" s="18" t="s">
        <v>231</v>
      </c>
      <c r="E38" s="65">
        <v>551</v>
      </c>
      <c r="F38" s="132"/>
      <c r="G38" s="65">
        <v>535</v>
      </c>
      <c r="H38" s="132"/>
      <c r="I38" s="65">
        <v>531</v>
      </c>
      <c r="J38" s="132"/>
      <c r="K38" s="65">
        <v>530</v>
      </c>
      <c r="L38" s="132"/>
      <c r="M38" s="65">
        <v>545</v>
      </c>
      <c r="N38" s="132"/>
      <c r="O38" s="65">
        <v>568</v>
      </c>
      <c r="P38" s="132"/>
      <c r="Q38" s="65">
        <v>579</v>
      </c>
      <c r="R38" s="132"/>
      <c r="S38" s="65">
        <v>576</v>
      </c>
      <c r="T38" s="132"/>
      <c r="U38" s="65">
        <v>593</v>
      </c>
      <c r="V38" s="132"/>
      <c r="W38" s="65">
        <v>598</v>
      </c>
      <c r="X38" s="132"/>
      <c r="Y38" s="65">
        <v>610</v>
      </c>
      <c r="Z38" s="67"/>
      <c r="AA38" s="65">
        <v>636</v>
      </c>
      <c r="AB38" s="65"/>
      <c r="AC38" s="65">
        <v>620</v>
      </c>
      <c r="AD38" s="18"/>
      <c r="AE38" s="65">
        <v>563</v>
      </c>
      <c r="AF38" s="23"/>
      <c r="AG38" s="65">
        <v>563</v>
      </c>
      <c r="AH38" s="23"/>
      <c r="AI38" s="65">
        <v>535</v>
      </c>
      <c r="AJ38" s="18"/>
      <c r="AK38" s="65">
        <v>537</v>
      </c>
      <c r="AL38" s="18"/>
      <c r="AM38" s="65">
        <v>533</v>
      </c>
      <c r="AN38" s="18"/>
      <c r="AO38" s="65">
        <v>563</v>
      </c>
      <c r="AP38" s="18"/>
      <c r="AQ38" s="65">
        <v>561</v>
      </c>
      <c r="AR38" s="18"/>
      <c r="AS38" s="66">
        <v>569</v>
      </c>
      <c r="AT38" s="66"/>
      <c r="AU38" s="66">
        <v>572</v>
      </c>
      <c r="AV38" s="66"/>
      <c r="AW38" s="66"/>
      <c r="AX38" s="18" t="s">
        <v>84</v>
      </c>
    </row>
    <row r="39" spans="1:51" ht="6" customHeight="1">
      <c r="A39" s="16"/>
      <c r="B39" s="34"/>
      <c r="C39" s="34"/>
      <c r="D39" s="56"/>
      <c r="E39" s="83"/>
      <c r="F39" s="136"/>
      <c r="G39" s="83"/>
      <c r="H39" s="136"/>
      <c r="I39" s="83"/>
      <c r="J39" s="136"/>
      <c r="K39" s="83"/>
      <c r="L39" s="136"/>
      <c r="M39" s="83"/>
      <c r="N39" s="136"/>
      <c r="O39" s="83"/>
      <c r="P39" s="136"/>
      <c r="Q39" s="83"/>
      <c r="R39" s="136"/>
      <c r="S39" s="83"/>
      <c r="T39" s="136"/>
      <c r="U39" s="83"/>
      <c r="V39" s="136"/>
      <c r="W39" s="83"/>
      <c r="X39" s="136"/>
      <c r="Y39" s="83"/>
      <c r="Z39" s="85"/>
      <c r="AA39" s="83"/>
      <c r="AB39" s="83"/>
      <c r="AC39" s="83"/>
      <c r="AD39" s="56"/>
      <c r="AE39" s="83"/>
      <c r="AF39" s="56"/>
      <c r="AG39" s="83"/>
      <c r="AH39" s="56"/>
      <c r="AI39" s="83"/>
      <c r="AJ39" s="56"/>
      <c r="AK39" s="83"/>
      <c r="AL39" s="56"/>
      <c r="AM39" s="83"/>
      <c r="AN39" s="56"/>
      <c r="AO39" s="83"/>
      <c r="AP39" s="56"/>
      <c r="AQ39" s="83"/>
      <c r="AR39" s="56"/>
      <c r="AS39" s="84"/>
      <c r="AT39" s="84"/>
      <c r="AU39" s="84"/>
      <c r="AV39" s="84"/>
      <c r="AW39" s="84"/>
      <c r="AX39" s="56"/>
    </row>
    <row r="40" spans="1:51" ht="6" customHeight="1">
      <c r="A40" s="16"/>
      <c r="B40" s="42"/>
      <c r="C40" s="42"/>
      <c r="D40" s="16"/>
      <c r="E40" s="28"/>
      <c r="F40" s="134"/>
      <c r="G40" s="28"/>
      <c r="H40" s="134"/>
      <c r="I40" s="28"/>
      <c r="J40" s="134"/>
      <c r="K40" s="28"/>
      <c r="L40" s="134"/>
      <c r="M40" s="28"/>
      <c r="N40" s="134"/>
      <c r="O40" s="28"/>
      <c r="P40" s="134"/>
      <c r="Q40" s="28"/>
      <c r="R40" s="134"/>
      <c r="S40" s="28"/>
      <c r="T40" s="134"/>
      <c r="U40" s="28"/>
      <c r="V40" s="134"/>
      <c r="W40" s="28"/>
      <c r="X40" s="134"/>
      <c r="Y40" s="28"/>
      <c r="Z40" s="23"/>
      <c r="AA40" s="28"/>
      <c r="AB40" s="28"/>
      <c r="AC40" s="28"/>
      <c r="AD40" s="16"/>
      <c r="AE40" s="28"/>
      <c r="AF40" s="16"/>
      <c r="AG40" s="28"/>
      <c r="AH40" s="16"/>
      <c r="AI40" s="28"/>
      <c r="AJ40" s="16"/>
      <c r="AK40" s="28"/>
      <c r="AL40" s="16"/>
      <c r="AM40" s="28"/>
      <c r="AN40" s="16"/>
      <c r="AO40" s="28"/>
      <c r="AP40" s="16"/>
      <c r="AQ40" s="28"/>
      <c r="AR40" s="16"/>
      <c r="AS40" s="17"/>
      <c r="AT40" s="17"/>
      <c r="AU40" s="17"/>
      <c r="AV40" s="17"/>
      <c r="AW40" s="17"/>
      <c r="AX40" s="16"/>
    </row>
    <row r="41" spans="1:51" ht="10.5" customHeight="1">
      <c r="A41" s="16"/>
      <c r="B41" s="42"/>
      <c r="C41" s="42"/>
      <c r="D41" s="63" t="s">
        <v>309</v>
      </c>
      <c r="E41" s="28"/>
      <c r="F41" s="134"/>
      <c r="G41" s="28"/>
      <c r="H41" s="134"/>
      <c r="I41" s="28"/>
      <c r="J41" s="134"/>
      <c r="K41" s="28"/>
      <c r="L41" s="134"/>
      <c r="M41" s="28"/>
      <c r="N41" s="134"/>
      <c r="O41" s="28"/>
      <c r="P41" s="134"/>
      <c r="Q41" s="28"/>
      <c r="R41" s="134"/>
      <c r="S41" s="28"/>
      <c r="T41" s="134"/>
      <c r="U41" s="28"/>
      <c r="V41" s="134"/>
      <c r="W41" s="28"/>
      <c r="X41" s="134"/>
      <c r="Y41" s="28"/>
      <c r="Z41" s="23"/>
      <c r="AA41" s="28"/>
      <c r="AB41" s="28"/>
      <c r="AC41" s="28"/>
      <c r="AD41" s="16"/>
      <c r="AE41" s="28"/>
      <c r="AF41" s="16"/>
      <c r="AG41" s="28"/>
      <c r="AH41" s="16"/>
      <c r="AI41" s="28"/>
      <c r="AJ41" s="16"/>
      <c r="AK41" s="28"/>
      <c r="AL41" s="16"/>
      <c r="AM41" s="28"/>
      <c r="AN41" s="16"/>
      <c r="AO41" s="28"/>
      <c r="AP41" s="16"/>
      <c r="AQ41" s="28"/>
      <c r="AR41" s="16"/>
      <c r="AS41" s="17"/>
      <c r="AT41" s="17"/>
      <c r="AU41" s="17"/>
      <c r="AV41" s="17"/>
      <c r="AW41" s="17"/>
      <c r="AX41" s="63" t="s">
        <v>310</v>
      </c>
    </row>
    <row r="42" spans="1:51" ht="6.6" customHeight="1">
      <c r="A42" s="16"/>
      <c r="B42" s="42"/>
      <c r="C42" s="42"/>
      <c r="D42" s="16"/>
      <c r="E42" s="28"/>
      <c r="F42" s="134"/>
      <c r="G42" s="28"/>
      <c r="H42" s="134"/>
      <c r="I42" s="28"/>
      <c r="J42" s="134"/>
      <c r="K42" s="28"/>
      <c r="L42" s="134"/>
      <c r="M42" s="28"/>
      <c r="N42" s="134"/>
      <c r="O42" s="28"/>
      <c r="P42" s="134"/>
      <c r="Q42" s="28"/>
      <c r="R42" s="134"/>
      <c r="S42" s="28"/>
      <c r="T42" s="134"/>
      <c r="U42" s="28"/>
      <c r="V42" s="134"/>
      <c r="W42" s="28"/>
      <c r="X42" s="134"/>
      <c r="Y42" s="28"/>
      <c r="Z42" s="23"/>
      <c r="AA42" s="28"/>
      <c r="AB42" s="28"/>
      <c r="AC42" s="28"/>
      <c r="AD42" s="16"/>
      <c r="AE42" s="28"/>
      <c r="AF42" s="16"/>
      <c r="AG42" s="28"/>
      <c r="AH42" s="16"/>
      <c r="AI42" s="28"/>
      <c r="AJ42" s="16"/>
      <c r="AK42" s="28"/>
      <c r="AL42" s="16"/>
      <c r="AM42" s="28"/>
      <c r="AN42" s="16"/>
      <c r="AO42" s="28"/>
      <c r="AP42" s="16"/>
      <c r="AQ42" s="28"/>
      <c r="AR42" s="16"/>
      <c r="AS42" s="17"/>
      <c r="AT42" s="17"/>
      <c r="AU42" s="17"/>
      <c r="AV42" s="17"/>
      <c r="AW42" s="17"/>
      <c r="AX42" s="16"/>
    </row>
    <row r="43" spans="1:51" ht="10.5" customHeight="1">
      <c r="A43" s="16"/>
      <c r="B43" s="42"/>
      <c r="C43" s="42"/>
      <c r="D43" s="63" t="s">
        <v>311</v>
      </c>
      <c r="E43" s="28"/>
      <c r="F43" s="134"/>
      <c r="G43" s="28"/>
      <c r="H43" s="134"/>
      <c r="I43" s="28"/>
      <c r="J43" s="134"/>
      <c r="K43" s="28"/>
      <c r="L43" s="134"/>
      <c r="M43" s="28"/>
      <c r="N43" s="134"/>
      <c r="O43" s="28"/>
      <c r="P43" s="134"/>
      <c r="Q43" s="28"/>
      <c r="R43" s="134"/>
      <c r="S43" s="28"/>
      <c r="T43" s="134"/>
      <c r="U43" s="28"/>
      <c r="V43" s="134"/>
      <c r="W43" s="28"/>
      <c r="X43" s="134"/>
      <c r="Y43" s="28"/>
      <c r="Z43" s="23"/>
      <c r="AA43" s="28"/>
      <c r="AB43" s="28"/>
      <c r="AC43" s="28"/>
      <c r="AD43" s="16"/>
      <c r="AE43" s="28"/>
      <c r="AF43" s="16"/>
      <c r="AG43" s="28"/>
      <c r="AH43" s="16"/>
      <c r="AI43" s="28"/>
      <c r="AJ43" s="16"/>
      <c r="AK43" s="28"/>
      <c r="AL43" s="16"/>
      <c r="AM43" s="28"/>
      <c r="AN43" s="16"/>
      <c r="AO43" s="28"/>
      <c r="AP43" s="16"/>
      <c r="AQ43" s="28"/>
      <c r="AR43" s="16"/>
      <c r="AS43" s="17"/>
      <c r="AT43" s="17"/>
      <c r="AU43" s="17"/>
      <c r="AV43" s="17"/>
      <c r="AW43" s="17"/>
      <c r="AX43" s="63" t="s">
        <v>312</v>
      </c>
    </row>
    <row r="44" spans="1:51" ht="10.5" customHeight="1">
      <c r="A44" s="16"/>
      <c r="B44" s="42">
        <v>19</v>
      </c>
      <c r="C44" s="42"/>
      <c r="D44" s="16" t="s">
        <v>313</v>
      </c>
      <c r="E44" s="28">
        <v>332</v>
      </c>
      <c r="F44" s="134"/>
      <c r="G44" s="28">
        <v>381</v>
      </c>
      <c r="H44" s="134"/>
      <c r="I44" s="28">
        <v>414</v>
      </c>
      <c r="J44" s="134"/>
      <c r="K44" s="28">
        <v>423</v>
      </c>
      <c r="L44" s="134"/>
      <c r="M44" s="28">
        <v>435</v>
      </c>
      <c r="N44" s="134"/>
      <c r="O44" s="28">
        <v>474</v>
      </c>
      <c r="P44" s="134"/>
      <c r="Q44" s="28">
        <v>495</v>
      </c>
      <c r="R44" s="134"/>
      <c r="S44" s="28">
        <v>502</v>
      </c>
      <c r="T44" s="134"/>
      <c r="U44" s="28">
        <v>517</v>
      </c>
      <c r="V44" s="134"/>
      <c r="W44" s="28">
        <v>505</v>
      </c>
      <c r="X44" s="134"/>
      <c r="Y44" s="28">
        <v>520</v>
      </c>
      <c r="Z44" s="23"/>
      <c r="AA44" s="28">
        <v>542</v>
      </c>
      <c r="AB44" s="28"/>
      <c r="AC44" s="28">
        <v>601</v>
      </c>
      <c r="AD44" s="16"/>
      <c r="AE44" s="28">
        <v>612</v>
      </c>
      <c r="AF44" s="16"/>
      <c r="AG44" s="28">
        <v>646</v>
      </c>
      <c r="AH44" s="16"/>
      <c r="AI44" s="28">
        <v>647</v>
      </c>
      <c r="AJ44" s="16"/>
      <c r="AK44" s="28">
        <v>643</v>
      </c>
      <c r="AL44" s="16"/>
      <c r="AM44" s="28">
        <v>660</v>
      </c>
      <c r="AN44" s="16"/>
      <c r="AO44" s="28">
        <v>682</v>
      </c>
      <c r="AP44" s="16"/>
      <c r="AQ44" s="28">
        <v>686</v>
      </c>
      <c r="AR44" s="16"/>
      <c r="AS44" s="28">
        <v>717</v>
      </c>
      <c r="AT44" s="17"/>
      <c r="AU44" s="28">
        <v>736</v>
      </c>
      <c r="AV44" s="17"/>
      <c r="AW44" s="17"/>
      <c r="AX44" s="16" t="s">
        <v>314</v>
      </c>
    </row>
    <row r="45" spans="1:51" ht="10.5" customHeight="1">
      <c r="A45" s="16"/>
      <c r="B45" s="42">
        <v>20</v>
      </c>
      <c r="C45" s="42"/>
      <c r="D45" s="24" t="s">
        <v>315</v>
      </c>
      <c r="E45" s="28">
        <v>54</v>
      </c>
      <c r="F45" s="134"/>
      <c r="G45" s="28">
        <v>56</v>
      </c>
      <c r="H45" s="134"/>
      <c r="I45" s="28">
        <v>77</v>
      </c>
      <c r="J45" s="134"/>
      <c r="K45" s="28">
        <v>79</v>
      </c>
      <c r="L45" s="134"/>
      <c r="M45" s="28">
        <v>84</v>
      </c>
      <c r="N45" s="134"/>
      <c r="O45" s="28">
        <v>118</v>
      </c>
      <c r="P45" s="134"/>
      <c r="Q45" s="28">
        <v>129</v>
      </c>
      <c r="R45" s="134"/>
      <c r="S45" s="28">
        <v>126</v>
      </c>
      <c r="T45" s="134"/>
      <c r="U45" s="28">
        <v>125</v>
      </c>
      <c r="V45" s="134"/>
      <c r="W45" s="28">
        <v>125</v>
      </c>
      <c r="X45" s="134"/>
      <c r="Y45" s="28">
        <v>128</v>
      </c>
      <c r="Z45" s="23"/>
      <c r="AA45" s="28">
        <v>137</v>
      </c>
      <c r="AB45" s="28"/>
      <c r="AC45" s="28">
        <v>151</v>
      </c>
      <c r="AD45" s="16"/>
      <c r="AE45" s="28">
        <v>162</v>
      </c>
      <c r="AF45" s="16"/>
      <c r="AG45" s="28">
        <v>163</v>
      </c>
      <c r="AH45" s="16"/>
      <c r="AI45" s="28">
        <v>169</v>
      </c>
      <c r="AJ45" s="16"/>
      <c r="AK45" s="28">
        <v>169</v>
      </c>
      <c r="AL45" s="16"/>
      <c r="AM45" s="28">
        <v>171</v>
      </c>
      <c r="AN45" s="16"/>
      <c r="AO45" s="28">
        <v>171</v>
      </c>
      <c r="AP45" s="16"/>
      <c r="AQ45" s="28">
        <v>171</v>
      </c>
      <c r="AR45" s="16"/>
      <c r="AS45" s="28">
        <v>206</v>
      </c>
      <c r="AT45" s="17"/>
      <c r="AU45" s="28">
        <v>218</v>
      </c>
      <c r="AV45" s="17"/>
      <c r="AW45" s="17"/>
      <c r="AX45" s="24" t="s">
        <v>316</v>
      </c>
      <c r="AY45" s="82"/>
    </row>
    <row r="46" spans="1:51" ht="10.5" customHeight="1">
      <c r="A46" s="16"/>
      <c r="B46" s="42">
        <v>21</v>
      </c>
      <c r="C46" s="42"/>
      <c r="D46" s="16" t="s">
        <v>309</v>
      </c>
      <c r="E46" s="75" t="s">
        <v>77</v>
      </c>
      <c r="F46" s="134"/>
      <c r="G46" s="75" t="s">
        <v>77</v>
      </c>
      <c r="H46" s="134"/>
      <c r="I46" s="75" t="s">
        <v>77</v>
      </c>
      <c r="J46" s="134"/>
      <c r="K46" s="75" t="s">
        <v>77</v>
      </c>
      <c r="L46" s="23"/>
      <c r="M46" s="75" t="s">
        <v>77</v>
      </c>
      <c r="N46" s="134"/>
      <c r="O46" s="75" t="s">
        <v>77</v>
      </c>
      <c r="P46" s="134"/>
      <c r="Q46" s="75" t="s">
        <v>77</v>
      </c>
      <c r="R46" s="134"/>
      <c r="S46" s="75" t="s">
        <v>77</v>
      </c>
      <c r="T46" s="134"/>
      <c r="U46" s="75" t="s">
        <v>77</v>
      </c>
      <c r="V46" s="134"/>
      <c r="W46" s="75" t="s">
        <v>77</v>
      </c>
      <c r="X46" s="134"/>
      <c r="Y46" s="75" t="s">
        <v>77</v>
      </c>
      <c r="Z46" s="23"/>
      <c r="AA46" s="75" t="s">
        <v>77</v>
      </c>
      <c r="AB46" s="75"/>
      <c r="AC46" s="75" t="s">
        <v>77</v>
      </c>
      <c r="AD46" s="16"/>
      <c r="AE46" s="75" t="s">
        <v>77</v>
      </c>
      <c r="AF46" s="16"/>
      <c r="AG46" s="75" t="s">
        <v>77</v>
      </c>
      <c r="AH46" s="16"/>
      <c r="AI46" s="75" t="s">
        <v>77</v>
      </c>
      <c r="AJ46" s="16"/>
      <c r="AK46" s="75" t="s">
        <v>77</v>
      </c>
      <c r="AL46" s="16"/>
      <c r="AM46" s="75" t="s">
        <v>77</v>
      </c>
      <c r="AN46" s="16"/>
      <c r="AO46" s="75" t="s">
        <v>77</v>
      </c>
      <c r="AP46" s="16"/>
      <c r="AQ46" s="75" t="s">
        <v>77</v>
      </c>
      <c r="AR46" s="16"/>
      <c r="AS46" s="75" t="s">
        <v>77</v>
      </c>
      <c r="AT46" s="17"/>
      <c r="AU46" s="75" t="s">
        <v>77</v>
      </c>
      <c r="AV46" s="17"/>
      <c r="AW46" s="17"/>
      <c r="AX46" s="16" t="s">
        <v>310</v>
      </c>
    </row>
    <row r="47" spans="1:51" ht="4.5" customHeight="1">
      <c r="A47" s="16"/>
      <c r="B47" s="42"/>
      <c r="C47" s="42"/>
      <c r="D47" s="16"/>
      <c r="E47" s="28"/>
      <c r="F47" s="134"/>
      <c r="G47" s="28"/>
      <c r="H47" s="134"/>
      <c r="I47" s="28"/>
      <c r="J47" s="134"/>
      <c r="K47" s="28"/>
      <c r="L47" s="134"/>
      <c r="M47" s="28"/>
      <c r="N47" s="134"/>
      <c r="O47" s="28"/>
      <c r="P47" s="134"/>
      <c r="Q47" s="28"/>
      <c r="R47" s="134"/>
      <c r="S47" s="28"/>
      <c r="T47" s="134"/>
      <c r="U47" s="28"/>
      <c r="V47" s="134"/>
      <c r="W47" s="28"/>
      <c r="X47" s="134"/>
      <c r="Y47" s="28"/>
      <c r="Z47" s="23"/>
      <c r="AA47" s="28"/>
      <c r="AB47" s="28"/>
      <c r="AC47" s="28"/>
      <c r="AD47" s="16"/>
      <c r="AE47" s="28"/>
      <c r="AF47" s="16"/>
      <c r="AG47" s="28"/>
      <c r="AH47" s="16"/>
      <c r="AI47" s="28"/>
      <c r="AJ47" s="16"/>
      <c r="AK47" s="28"/>
      <c r="AL47" s="16"/>
      <c r="AM47" s="28"/>
      <c r="AN47" s="16"/>
      <c r="AO47" s="28"/>
      <c r="AP47" s="16"/>
      <c r="AQ47" s="28"/>
      <c r="AR47" s="16"/>
      <c r="AS47" s="28"/>
      <c r="AT47" s="17"/>
      <c r="AU47" s="28"/>
      <c r="AV47" s="17"/>
      <c r="AW47" s="17"/>
      <c r="AX47" s="16"/>
    </row>
    <row r="48" spans="1:51" ht="6.6" customHeight="1">
      <c r="A48" s="16"/>
      <c r="B48" s="42"/>
      <c r="C48" s="42"/>
      <c r="D48" s="16"/>
      <c r="E48" s="28"/>
      <c r="F48" s="134"/>
      <c r="G48" s="28"/>
      <c r="H48" s="134"/>
      <c r="I48" s="28"/>
      <c r="J48" s="134"/>
      <c r="K48" s="28"/>
      <c r="L48" s="134"/>
      <c r="M48" s="28"/>
      <c r="N48" s="134"/>
      <c r="O48" s="28"/>
      <c r="P48" s="134"/>
      <c r="Q48" s="28"/>
      <c r="R48" s="134"/>
      <c r="S48" s="28"/>
      <c r="T48" s="134"/>
      <c r="U48" s="28"/>
      <c r="V48" s="134"/>
      <c r="W48" s="28"/>
      <c r="X48" s="134"/>
      <c r="Y48" s="28"/>
      <c r="Z48" s="23"/>
      <c r="AA48" s="28"/>
      <c r="AB48" s="28"/>
      <c r="AC48" s="28"/>
      <c r="AD48" s="16"/>
      <c r="AE48" s="28"/>
      <c r="AF48" s="16"/>
      <c r="AG48" s="28"/>
      <c r="AH48" s="16"/>
      <c r="AI48" s="28"/>
      <c r="AJ48" s="16"/>
      <c r="AK48" s="28"/>
      <c r="AL48" s="16"/>
      <c r="AM48" s="28"/>
      <c r="AN48" s="16"/>
      <c r="AO48" s="28"/>
      <c r="AP48" s="16"/>
      <c r="AQ48" s="28"/>
      <c r="AR48" s="16"/>
      <c r="AS48" s="28"/>
      <c r="AT48" s="17"/>
      <c r="AU48" s="28"/>
      <c r="AV48" s="17"/>
      <c r="AW48" s="17"/>
      <c r="AX48" s="16"/>
    </row>
    <row r="49" spans="1:57" ht="10.5" customHeight="1">
      <c r="A49" s="16"/>
      <c r="B49" s="42"/>
      <c r="C49" s="42"/>
      <c r="D49" s="63" t="s">
        <v>317</v>
      </c>
      <c r="E49" s="28"/>
      <c r="F49" s="134"/>
      <c r="G49" s="28"/>
      <c r="H49" s="134"/>
      <c r="I49" s="28"/>
      <c r="J49" s="134"/>
      <c r="K49" s="28"/>
      <c r="L49" s="134"/>
      <c r="M49" s="28"/>
      <c r="N49" s="134"/>
      <c r="O49" s="28"/>
      <c r="P49" s="134"/>
      <c r="Q49" s="28"/>
      <c r="R49" s="134"/>
      <c r="S49" s="28"/>
      <c r="T49" s="134"/>
      <c r="U49" s="28"/>
      <c r="V49" s="134"/>
      <c r="W49" s="28"/>
      <c r="X49" s="134"/>
      <c r="Y49" s="28"/>
      <c r="Z49" s="23"/>
      <c r="AA49" s="28"/>
      <c r="AB49" s="28"/>
      <c r="AC49" s="28"/>
      <c r="AD49" s="16"/>
      <c r="AE49" s="28"/>
      <c r="AF49" s="16"/>
      <c r="AG49" s="28"/>
      <c r="AH49" s="16"/>
      <c r="AI49" s="28"/>
      <c r="AJ49" s="16"/>
      <c r="AK49" s="28"/>
      <c r="AL49" s="16"/>
      <c r="AM49" s="28"/>
      <c r="AN49" s="16"/>
      <c r="AO49" s="28"/>
      <c r="AP49" s="16"/>
      <c r="AQ49" s="28"/>
      <c r="AR49" s="16"/>
      <c r="AS49" s="28"/>
      <c r="AT49" s="17"/>
      <c r="AU49" s="28"/>
      <c r="AV49" s="17"/>
      <c r="AW49" s="17"/>
      <c r="AX49" s="63" t="s">
        <v>318</v>
      </c>
    </row>
    <row r="50" spans="1:57" ht="10.5" customHeight="1">
      <c r="A50" s="16"/>
      <c r="B50" s="42">
        <v>22</v>
      </c>
      <c r="C50" s="42"/>
      <c r="D50" s="16" t="s">
        <v>319</v>
      </c>
      <c r="E50" s="28">
        <v>343</v>
      </c>
      <c r="F50" s="134"/>
      <c r="G50" s="28">
        <v>431</v>
      </c>
      <c r="H50" s="134"/>
      <c r="I50" s="28">
        <v>497</v>
      </c>
      <c r="J50" s="134"/>
      <c r="K50" s="28">
        <v>511</v>
      </c>
      <c r="L50" s="134"/>
      <c r="M50" s="28">
        <v>535</v>
      </c>
      <c r="N50" s="134"/>
      <c r="O50" s="28">
        <v>674</v>
      </c>
      <c r="P50" s="134"/>
      <c r="Q50" s="28">
        <v>735</v>
      </c>
      <c r="R50" s="134"/>
      <c r="S50" s="28">
        <v>976</v>
      </c>
      <c r="T50" s="134"/>
      <c r="U50" s="28">
        <v>1084</v>
      </c>
      <c r="V50" s="134"/>
      <c r="W50" s="28">
        <v>1071</v>
      </c>
      <c r="X50" s="134"/>
      <c r="Y50" s="28">
        <v>1151</v>
      </c>
      <c r="Z50" s="23"/>
      <c r="AA50" s="28">
        <v>1240</v>
      </c>
      <c r="AB50" s="28"/>
      <c r="AC50" s="28">
        <v>1521</v>
      </c>
      <c r="AD50" s="16"/>
      <c r="AE50" s="28">
        <v>1601</v>
      </c>
      <c r="AF50" s="16"/>
      <c r="AG50" s="28">
        <v>1687</v>
      </c>
      <c r="AH50" s="16"/>
      <c r="AI50" s="28">
        <v>1719</v>
      </c>
      <c r="AJ50" s="16"/>
      <c r="AK50" s="28">
        <v>1839</v>
      </c>
      <c r="AL50" s="16"/>
      <c r="AM50" s="28">
        <v>1980</v>
      </c>
      <c r="AN50" s="16"/>
      <c r="AO50" s="28">
        <v>2071</v>
      </c>
      <c r="AP50" s="16"/>
      <c r="AQ50" s="28">
        <v>2085</v>
      </c>
      <c r="AR50" s="16"/>
      <c r="AS50" s="28">
        <v>2231</v>
      </c>
      <c r="AT50" s="17"/>
      <c r="AU50" s="28">
        <v>2291</v>
      </c>
      <c r="AV50" s="17"/>
      <c r="AW50" s="17"/>
      <c r="AX50" s="16" t="s">
        <v>320</v>
      </c>
      <c r="AY50" s="82"/>
    </row>
    <row r="51" spans="1:57" ht="10.5" customHeight="1">
      <c r="A51" s="16"/>
      <c r="B51" s="42">
        <v>23</v>
      </c>
      <c r="C51" s="42"/>
      <c r="D51" s="24" t="s">
        <v>315</v>
      </c>
      <c r="E51" s="28">
        <v>61</v>
      </c>
      <c r="F51" s="134"/>
      <c r="G51" s="28">
        <v>69</v>
      </c>
      <c r="H51" s="134"/>
      <c r="I51" s="28">
        <v>111</v>
      </c>
      <c r="J51" s="134"/>
      <c r="K51" s="28">
        <v>115</v>
      </c>
      <c r="L51" s="134"/>
      <c r="M51" s="28">
        <v>125</v>
      </c>
      <c r="N51" s="134"/>
      <c r="O51" s="28">
        <v>212</v>
      </c>
      <c r="P51" s="134"/>
      <c r="Q51" s="28">
        <v>241</v>
      </c>
      <c r="R51" s="134"/>
      <c r="S51" s="28">
        <v>236</v>
      </c>
      <c r="T51" s="134"/>
      <c r="U51" s="28">
        <v>234</v>
      </c>
      <c r="V51" s="134"/>
      <c r="W51" s="28">
        <v>234</v>
      </c>
      <c r="X51" s="134"/>
      <c r="Y51" s="28">
        <v>240</v>
      </c>
      <c r="Z51" s="23"/>
      <c r="AA51" s="28">
        <v>259</v>
      </c>
      <c r="AB51" s="28"/>
      <c r="AC51" s="28">
        <v>319</v>
      </c>
      <c r="AD51" s="16"/>
      <c r="AE51" s="28">
        <v>339</v>
      </c>
      <c r="AF51" s="16"/>
      <c r="AG51" s="28">
        <v>345</v>
      </c>
      <c r="AH51" s="16"/>
      <c r="AI51" s="28">
        <v>363</v>
      </c>
      <c r="AJ51" s="16"/>
      <c r="AK51" s="28">
        <v>363</v>
      </c>
      <c r="AL51" s="16"/>
      <c r="AM51" s="28">
        <v>367</v>
      </c>
      <c r="AN51" s="16"/>
      <c r="AO51" s="28">
        <v>367</v>
      </c>
      <c r="AP51" s="16"/>
      <c r="AQ51" s="28">
        <v>367</v>
      </c>
      <c r="AR51" s="16"/>
      <c r="AS51" s="28">
        <v>517</v>
      </c>
      <c r="AT51" s="17"/>
      <c r="AU51" s="28">
        <v>561</v>
      </c>
      <c r="AV51" s="17"/>
      <c r="AW51" s="17"/>
      <c r="AX51" s="24" t="s">
        <v>316</v>
      </c>
      <c r="AY51" s="82"/>
    </row>
    <row r="52" spans="1:57" ht="10.5" customHeight="1">
      <c r="A52" s="16"/>
      <c r="B52" s="42">
        <v>24</v>
      </c>
      <c r="C52" s="42"/>
      <c r="D52" s="16" t="s">
        <v>321</v>
      </c>
      <c r="E52" s="75" t="s">
        <v>77</v>
      </c>
      <c r="F52" s="134"/>
      <c r="G52" s="75" t="s">
        <v>77</v>
      </c>
      <c r="H52" s="134"/>
      <c r="I52" s="75" t="s">
        <v>77</v>
      </c>
      <c r="J52" s="134"/>
      <c r="K52" s="75" t="s">
        <v>77</v>
      </c>
      <c r="L52" s="23"/>
      <c r="M52" s="75" t="s">
        <v>77</v>
      </c>
      <c r="N52" s="134"/>
      <c r="O52" s="75" t="s">
        <v>77</v>
      </c>
      <c r="P52" s="134"/>
      <c r="Q52" s="75" t="s">
        <v>77</v>
      </c>
      <c r="R52" s="134"/>
      <c r="S52" s="75" t="s">
        <v>77</v>
      </c>
      <c r="T52" s="134"/>
      <c r="U52" s="75" t="s">
        <v>77</v>
      </c>
      <c r="V52" s="134"/>
      <c r="W52" s="75" t="s">
        <v>77</v>
      </c>
      <c r="X52" s="134"/>
      <c r="Y52" s="75" t="s">
        <v>77</v>
      </c>
      <c r="Z52" s="23"/>
      <c r="AA52" s="75" t="s">
        <v>77</v>
      </c>
      <c r="AB52" s="75"/>
      <c r="AC52" s="75" t="s">
        <v>77</v>
      </c>
      <c r="AD52" s="16"/>
      <c r="AE52" s="75" t="s">
        <v>77</v>
      </c>
      <c r="AF52" s="16"/>
      <c r="AG52" s="75" t="s">
        <v>77</v>
      </c>
      <c r="AH52" s="16"/>
      <c r="AI52" s="75" t="s">
        <v>77</v>
      </c>
      <c r="AJ52" s="16"/>
      <c r="AK52" s="75" t="s">
        <v>77</v>
      </c>
      <c r="AL52" s="16"/>
      <c r="AM52" s="75" t="s">
        <v>77</v>
      </c>
      <c r="AN52" s="16"/>
      <c r="AO52" s="75" t="s">
        <v>77</v>
      </c>
      <c r="AP52" s="16"/>
      <c r="AQ52" s="75" t="s">
        <v>77</v>
      </c>
      <c r="AR52" s="16"/>
      <c r="AS52" s="75" t="s">
        <v>77</v>
      </c>
      <c r="AT52" s="17"/>
      <c r="AU52" s="75" t="s">
        <v>77</v>
      </c>
      <c r="AV52" s="17"/>
      <c r="AW52" s="17"/>
      <c r="AX52" s="16" t="s">
        <v>322</v>
      </c>
    </row>
    <row r="53" spans="1:57" ht="4.5" customHeight="1">
      <c r="A53" s="16"/>
      <c r="B53" s="42"/>
      <c r="C53" s="42"/>
      <c r="D53" s="16"/>
      <c r="E53" s="28"/>
      <c r="F53" s="134"/>
      <c r="G53" s="28"/>
      <c r="H53" s="134"/>
      <c r="I53" s="28"/>
      <c r="J53" s="134"/>
      <c r="K53" s="28"/>
      <c r="L53" s="134"/>
      <c r="M53" s="28"/>
      <c r="N53" s="134"/>
      <c r="O53" s="28"/>
      <c r="P53" s="134"/>
      <c r="Q53" s="28"/>
      <c r="R53" s="134"/>
      <c r="S53" s="28"/>
      <c r="T53" s="134"/>
      <c r="U53" s="28"/>
      <c r="V53" s="134"/>
      <c r="W53" s="28"/>
      <c r="X53" s="134"/>
      <c r="Y53" s="28"/>
      <c r="Z53" s="23"/>
      <c r="AA53" s="28"/>
      <c r="AB53" s="28"/>
      <c r="AC53" s="28"/>
      <c r="AD53" s="16"/>
      <c r="AE53" s="28"/>
      <c r="AF53" s="16"/>
      <c r="AG53" s="28"/>
      <c r="AH53" s="16"/>
      <c r="AI53" s="28"/>
      <c r="AJ53" s="16"/>
      <c r="AK53" s="28"/>
      <c r="AL53" s="16"/>
      <c r="AM53" s="28"/>
      <c r="AN53" s="16"/>
      <c r="AO53" s="28"/>
      <c r="AP53" s="16"/>
      <c r="AQ53" s="28"/>
      <c r="AR53" s="16"/>
      <c r="AS53" s="28"/>
      <c r="AT53" s="17"/>
      <c r="AU53" s="28"/>
      <c r="AV53" s="17"/>
      <c r="AW53" s="17"/>
      <c r="AX53" s="16"/>
    </row>
    <row r="54" spans="1:57" ht="6.6" customHeight="1">
      <c r="A54" s="16"/>
      <c r="B54" s="42"/>
      <c r="C54" s="42"/>
      <c r="D54" s="53"/>
      <c r="E54" s="28"/>
      <c r="F54" s="134"/>
      <c r="G54" s="28"/>
      <c r="H54" s="134"/>
      <c r="I54" s="28"/>
      <c r="J54" s="134"/>
      <c r="K54" s="28"/>
      <c r="L54" s="134"/>
      <c r="M54" s="28"/>
      <c r="N54" s="134"/>
      <c r="O54" s="28"/>
      <c r="P54" s="134"/>
      <c r="Q54" s="28"/>
      <c r="R54" s="134"/>
      <c r="S54" s="28"/>
      <c r="T54" s="134"/>
      <c r="U54" s="28"/>
      <c r="V54" s="134"/>
      <c r="W54" s="28"/>
      <c r="X54" s="134"/>
      <c r="Y54" s="28"/>
      <c r="Z54" s="23"/>
      <c r="AA54" s="28"/>
      <c r="AB54" s="28"/>
      <c r="AC54" s="28"/>
      <c r="AD54" s="16"/>
      <c r="AE54" s="28"/>
      <c r="AF54" s="16"/>
      <c r="AG54" s="28"/>
      <c r="AH54" s="16"/>
      <c r="AI54" s="28"/>
      <c r="AJ54" s="16"/>
      <c r="AK54" s="28"/>
      <c r="AL54" s="16"/>
      <c r="AM54" s="28"/>
      <c r="AN54" s="16"/>
      <c r="AO54" s="28"/>
      <c r="AP54" s="16"/>
      <c r="AQ54" s="28"/>
      <c r="AR54" s="16"/>
      <c r="AS54" s="28"/>
      <c r="AT54" s="17"/>
      <c r="AU54" s="28"/>
      <c r="AV54" s="17"/>
      <c r="AW54" s="17"/>
      <c r="AX54" s="53"/>
    </row>
    <row r="55" spans="1:57" ht="10.5" customHeight="1">
      <c r="A55" s="16"/>
      <c r="B55" s="42"/>
      <c r="C55" s="42"/>
      <c r="D55" s="63" t="s">
        <v>323</v>
      </c>
      <c r="E55" s="28"/>
      <c r="F55" s="134"/>
      <c r="G55" s="28"/>
      <c r="H55" s="134"/>
      <c r="I55" s="28"/>
      <c r="J55" s="134"/>
      <c r="K55" s="28"/>
      <c r="L55" s="134"/>
      <c r="M55" s="28"/>
      <c r="N55" s="134"/>
      <c r="O55" s="28"/>
      <c r="P55" s="134"/>
      <c r="Q55" s="28"/>
      <c r="R55" s="134"/>
      <c r="S55" s="28"/>
      <c r="T55" s="134"/>
      <c r="U55" s="28"/>
      <c r="V55" s="134"/>
      <c r="W55" s="28"/>
      <c r="X55" s="134"/>
      <c r="Y55" s="28"/>
      <c r="Z55" s="23"/>
      <c r="AA55" s="28"/>
      <c r="AB55" s="28"/>
      <c r="AC55" s="28"/>
      <c r="AD55" s="16"/>
      <c r="AE55" s="28"/>
      <c r="AF55" s="16"/>
      <c r="AG55" s="28"/>
      <c r="AH55" s="16"/>
      <c r="AI55" s="28"/>
      <c r="AJ55" s="16"/>
      <c r="AK55" s="28"/>
      <c r="AL55" s="16"/>
      <c r="AM55" s="28"/>
      <c r="AN55" s="16"/>
      <c r="AO55" s="28"/>
      <c r="AP55" s="16"/>
      <c r="AQ55" s="28"/>
      <c r="AR55" s="16"/>
      <c r="AS55" s="28"/>
      <c r="AT55" s="17"/>
      <c r="AU55" s="28"/>
      <c r="AV55" s="17"/>
      <c r="AW55" s="17"/>
      <c r="AX55" s="63" t="s">
        <v>324</v>
      </c>
    </row>
    <row r="56" spans="1:57" ht="10.5" customHeight="1">
      <c r="A56" s="16"/>
      <c r="B56" s="42">
        <v>25</v>
      </c>
      <c r="C56" s="42"/>
      <c r="D56" s="16" t="s">
        <v>313</v>
      </c>
      <c r="E56" s="28">
        <v>20</v>
      </c>
      <c r="F56" s="134"/>
      <c r="G56" s="28">
        <v>20</v>
      </c>
      <c r="H56" s="134"/>
      <c r="I56" s="28">
        <v>22</v>
      </c>
      <c r="J56" s="134"/>
      <c r="K56" s="28">
        <v>18</v>
      </c>
      <c r="L56" s="134"/>
      <c r="M56" s="28">
        <v>17</v>
      </c>
      <c r="N56" s="134"/>
      <c r="O56" s="28">
        <v>20</v>
      </c>
      <c r="P56" s="134"/>
      <c r="Q56" s="28">
        <v>25</v>
      </c>
      <c r="R56" s="134"/>
      <c r="S56" s="28">
        <v>23</v>
      </c>
      <c r="T56" s="134"/>
      <c r="U56" s="28">
        <v>24</v>
      </c>
      <c r="V56" s="134"/>
      <c r="W56" s="28">
        <v>27</v>
      </c>
      <c r="X56" s="134"/>
      <c r="Y56" s="28">
        <v>35</v>
      </c>
      <c r="Z56" s="23"/>
      <c r="AA56" s="28">
        <v>36</v>
      </c>
      <c r="AB56" s="28"/>
      <c r="AC56" s="28">
        <v>34</v>
      </c>
      <c r="AD56" s="16"/>
      <c r="AE56" s="28">
        <v>34</v>
      </c>
      <c r="AF56" s="16"/>
      <c r="AG56" s="28">
        <v>33</v>
      </c>
      <c r="AH56" s="16"/>
      <c r="AI56" s="28">
        <v>33</v>
      </c>
      <c r="AJ56" s="16"/>
      <c r="AK56" s="28">
        <v>35</v>
      </c>
      <c r="AL56" s="16"/>
      <c r="AM56" s="28">
        <v>35</v>
      </c>
      <c r="AN56" s="16"/>
      <c r="AO56" s="28">
        <v>35</v>
      </c>
      <c r="AP56" s="23" t="s">
        <v>810</v>
      </c>
      <c r="AQ56" s="28">
        <v>35</v>
      </c>
      <c r="AR56" s="23" t="s">
        <v>810</v>
      </c>
      <c r="AS56" s="28">
        <v>35</v>
      </c>
      <c r="AT56" s="23" t="s">
        <v>810</v>
      </c>
      <c r="AU56" s="28">
        <v>35</v>
      </c>
      <c r="AV56" s="17"/>
      <c r="AW56" s="17"/>
      <c r="AX56" s="16" t="s">
        <v>314</v>
      </c>
    </row>
    <row r="57" spans="1:57" ht="10.5" customHeight="1">
      <c r="A57" s="16"/>
      <c r="B57" s="42">
        <v>26</v>
      </c>
      <c r="C57" s="42"/>
      <c r="D57" s="16" t="s">
        <v>309</v>
      </c>
      <c r="E57" s="28">
        <v>66</v>
      </c>
      <c r="F57" s="134"/>
      <c r="G57" s="28">
        <v>66</v>
      </c>
      <c r="H57" s="134"/>
      <c r="I57" s="28">
        <v>63</v>
      </c>
      <c r="J57" s="134"/>
      <c r="K57" s="28">
        <v>65</v>
      </c>
      <c r="L57" s="134"/>
      <c r="M57" s="28">
        <v>46</v>
      </c>
      <c r="N57" s="134"/>
      <c r="O57" s="28">
        <v>42</v>
      </c>
      <c r="P57" s="134"/>
      <c r="Q57" s="28">
        <v>38</v>
      </c>
      <c r="R57" s="134"/>
      <c r="S57" s="28">
        <v>35</v>
      </c>
      <c r="T57" s="134"/>
      <c r="U57" s="28">
        <v>36</v>
      </c>
      <c r="V57" s="134"/>
      <c r="W57" s="28">
        <v>37</v>
      </c>
      <c r="X57" s="134"/>
      <c r="Y57" s="28">
        <v>30</v>
      </c>
      <c r="Z57" s="23"/>
      <c r="AA57" s="28">
        <v>25</v>
      </c>
      <c r="AB57" s="28"/>
      <c r="AC57" s="28">
        <v>22</v>
      </c>
      <c r="AD57" s="16"/>
      <c r="AE57" s="28">
        <v>15</v>
      </c>
      <c r="AF57" s="23"/>
      <c r="AG57" s="28">
        <v>15</v>
      </c>
      <c r="AH57" s="16"/>
      <c r="AI57" s="28">
        <v>15</v>
      </c>
      <c r="AJ57" s="16"/>
      <c r="AK57" s="28">
        <v>8</v>
      </c>
      <c r="AL57" s="16"/>
      <c r="AM57" s="28">
        <v>8</v>
      </c>
      <c r="AN57" s="16"/>
      <c r="AO57" s="28">
        <v>8</v>
      </c>
      <c r="AP57" s="23" t="s">
        <v>810</v>
      </c>
      <c r="AQ57" s="28">
        <v>4</v>
      </c>
      <c r="AR57" s="23" t="s">
        <v>810</v>
      </c>
      <c r="AS57" s="28">
        <v>4</v>
      </c>
      <c r="AT57" s="23" t="s">
        <v>810</v>
      </c>
      <c r="AU57" s="28">
        <v>4</v>
      </c>
      <c r="AV57" s="75"/>
      <c r="AW57" s="75"/>
      <c r="AX57" s="16" t="s">
        <v>310</v>
      </c>
    </row>
    <row r="58" spans="1:57" ht="4.5" customHeight="1">
      <c r="A58" s="16"/>
      <c r="B58" s="42"/>
      <c r="C58" s="42"/>
      <c r="D58" s="2"/>
      <c r="E58" s="28"/>
      <c r="F58" s="134"/>
      <c r="G58" s="28"/>
      <c r="H58" s="134"/>
      <c r="I58" s="28"/>
      <c r="J58" s="134"/>
      <c r="K58" s="28"/>
      <c r="L58" s="134"/>
      <c r="M58" s="28"/>
      <c r="N58" s="134"/>
      <c r="O58" s="28"/>
      <c r="P58" s="134"/>
      <c r="Q58" s="28"/>
      <c r="R58" s="134"/>
      <c r="S58" s="28"/>
      <c r="T58" s="134"/>
      <c r="U58" s="28"/>
      <c r="V58" s="134"/>
      <c r="W58" s="28"/>
      <c r="X58" s="134"/>
      <c r="Y58" s="28"/>
      <c r="Z58" s="23"/>
      <c r="AA58" s="28"/>
      <c r="AB58" s="28"/>
      <c r="AC58" s="28"/>
      <c r="AD58" s="16"/>
      <c r="AE58" s="28"/>
      <c r="AF58" s="16"/>
      <c r="AG58" s="28"/>
      <c r="AH58" s="16"/>
      <c r="AI58" s="28"/>
      <c r="AJ58" s="16"/>
      <c r="AK58" s="28"/>
      <c r="AL58" s="16"/>
      <c r="AM58" s="28"/>
      <c r="AN58" s="16"/>
      <c r="AO58" s="28"/>
      <c r="AP58" s="16"/>
      <c r="AQ58" s="28"/>
      <c r="AR58" s="16"/>
      <c r="AS58" s="28"/>
      <c r="AT58" s="75"/>
      <c r="AU58" s="28"/>
      <c r="AV58" s="75"/>
      <c r="AW58" s="75"/>
      <c r="AX58" s="2"/>
    </row>
    <row r="59" spans="1:57" ht="6.6" customHeight="1">
      <c r="A59" s="16"/>
      <c r="B59" s="42"/>
      <c r="C59" s="42"/>
      <c r="D59" s="53"/>
      <c r="E59" s="28"/>
      <c r="F59" s="134"/>
      <c r="G59" s="28"/>
      <c r="H59" s="134"/>
      <c r="I59" s="28"/>
      <c r="J59" s="134"/>
      <c r="K59" s="28"/>
      <c r="L59" s="134"/>
      <c r="M59" s="28"/>
      <c r="N59" s="134"/>
      <c r="O59" s="28"/>
      <c r="P59" s="134"/>
      <c r="Q59" s="28"/>
      <c r="R59" s="134"/>
      <c r="S59" s="28"/>
      <c r="T59" s="134"/>
      <c r="U59" s="28"/>
      <c r="V59" s="134"/>
      <c r="W59" s="28"/>
      <c r="X59" s="134"/>
      <c r="Y59" s="28"/>
      <c r="Z59" s="23"/>
      <c r="AA59" s="28"/>
      <c r="AB59" s="28"/>
      <c r="AC59" s="28"/>
      <c r="AD59" s="16"/>
      <c r="AE59" s="28"/>
      <c r="AF59" s="16"/>
      <c r="AG59" s="28"/>
      <c r="AH59" s="16"/>
      <c r="AI59" s="28"/>
      <c r="AJ59" s="16"/>
      <c r="AK59" s="28"/>
      <c r="AL59" s="16"/>
      <c r="AM59" s="28"/>
      <c r="AN59" s="16"/>
      <c r="AO59" s="28"/>
      <c r="AP59" s="16"/>
      <c r="AQ59" s="28"/>
      <c r="AR59" s="16"/>
      <c r="AS59" s="28"/>
      <c r="AT59" s="75"/>
      <c r="AU59" s="28"/>
      <c r="AV59" s="75"/>
      <c r="AW59" s="75"/>
      <c r="AX59" s="53"/>
    </row>
    <row r="60" spans="1:57" ht="10.5" customHeight="1">
      <c r="A60" s="16"/>
      <c r="B60" s="42"/>
      <c r="C60" s="42"/>
      <c r="D60" s="63" t="s">
        <v>325</v>
      </c>
      <c r="E60" s="28"/>
      <c r="F60" s="134"/>
      <c r="G60" s="28"/>
      <c r="H60" s="134"/>
      <c r="I60" s="28"/>
      <c r="J60" s="134"/>
      <c r="K60" s="28"/>
      <c r="L60" s="134"/>
      <c r="M60" s="28"/>
      <c r="N60" s="134"/>
      <c r="O60" s="28"/>
      <c r="P60" s="134"/>
      <c r="Q60" s="28"/>
      <c r="R60" s="134"/>
      <c r="S60" s="28"/>
      <c r="T60" s="134"/>
      <c r="U60" s="28"/>
      <c r="V60" s="134"/>
      <c r="W60" s="28"/>
      <c r="X60" s="134"/>
      <c r="Y60" s="28"/>
      <c r="Z60" s="23"/>
      <c r="AA60" s="28"/>
      <c r="AB60" s="28"/>
      <c r="AC60" s="28"/>
      <c r="AD60" s="16"/>
      <c r="AE60" s="28"/>
      <c r="AF60" s="16"/>
      <c r="AG60" s="28"/>
      <c r="AH60" s="16"/>
      <c r="AI60" s="28"/>
      <c r="AJ60" s="16"/>
      <c r="AK60" s="28"/>
      <c r="AL60" s="16"/>
      <c r="AM60" s="28"/>
      <c r="AN60" s="16"/>
      <c r="AO60" s="28"/>
      <c r="AP60" s="16"/>
      <c r="AQ60" s="28"/>
      <c r="AR60" s="16"/>
      <c r="AS60" s="28"/>
      <c r="AT60" s="17"/>
      <c r="AU60" s="28"/>
      <c r="AV60" s="17"/>
      <c r="AW60" s="17"/>
      <c r="AX60" s="63" t="s">
        <v>326</v>
      </c>
      <c r="AY60" s="414"/>
      <c r="AZ60" s="414"/>
      <c r="BA60" s="414"/>
      <c r="BB60" s="414"/>
      <c r="BC60" s="414"/>
      <c r="BD60" s="414"/>
      <c r="BE60" s="414"/>
    </row>
    <row r="61" spans="1:57" ht="10.5" customHeight="1">
      <c r="A61" s="16"/>
      <c r="B61" s="42">
        <v>27</v>
      </c>
      <c r="C61" s="42"/>
      <c r="D61" s="16" t="s">
        <v>319</v>
      </c>
      <c r="E61" s="28">
        <v>20</v>
      </c>
      <c r="F61" s="134"/>
      <c r="G61" s="28">
        <v>20</v>
      </c>
      <c r="H61" s="134"/>
      <c r="I61" s="28">
        <v>24</v>
      </c>
      <c r="J61" s="134"/>
      <c r="K61" s="28">
        <v>47</v>
      </c>
      <c r="L61" s="134"/>
      <c r="M61" s="28">
        <v>39</v>
      </c>
      <c r="N61" s="134"/>
      <c r="O61" s="28">
        <v>40</v>
      </c>
      <c r="P61" s="134"/>
      <c r="Q61" s="28">
        <v>50</v>
      </c>
      <c r="R61" s="134"/>
      <c r="S61" s="28">
        <v>46</v>
      </c>
      <c r="T61" s="134"/>
      <c r="U61" s="28">
        <v>47</v>
      </c>
      <c r="V61" s="134"/>
      <c r="W61" s="28">
        <v>53</v>
      </c>
      <c r="X61" s="134"/>
      <c r="Y61" s="28">
        <v>69</v>
      </c>
      <c r="Z61" s="23"/>
      <c r="AA61" s="28">
        <v>71</v>
      </c>
      <c r="AB61" s="28"/>
      <c r="AC61" s="28">
        <v>68</v>
      </c>
      <c r="AD61" s="16"/>
      <c r="AE61" s="28">
        <v>68</v>
      </c>
      <c r="AF61" s="16"/>
      <c r="AG61" s="28">
        <v>66</v>
      </c>
      <c r="AH61" s="16"/>
      <c r="AI61" s="28">
        <v>66</v>
      </c>
      <c r="AJ61" s="16"/>
      <c r="AK61" s="28">
        <v>70</v>
      </c>
      <c r="AL61" s="16"/>
      <c r="AM61" s="28">
        <v>70</v>
      </c>
      <c r="AN61" s="16"/>
      <c r="AO61" s="28">
        <v>70</v>
      </c>
      <c r="AP61" s="23" t="s">
        <v>810</v>
      </c>
      <c r="AQ61" s="28">
        <v>70</v>
      </c>
      <c r="AR61" s="23" t="s">
        <v>810</v>
      </c>
      <c r="AS61" s="28">
        <v>70</v>
      </c>
      <c r="AT61" s="23" t="s">
        <v>810</v>
      </c>
      <c r="AU61" s="28">
        <v>70</v>
      </c>
      <c r="AV61" s="17"/>
      <c r="AW61" s="17"/>
      <c r="AX61" s="16" t="s">
        <v>320</v>
      </c>
      <c r="AY61" s="211"/>
      <c r="AZ61" s="211"/>
      <c r="BA61" s="211"/>
      <c r="BB61" s="211"/>
      <c r="BC61" s="211"/>
      <c r="BD61" s="211"/>
      <c r="BE61" s="211"/>
    </row>
    <row r="62" spans="1:57" ht="10.5" customHeight="1">
      <c r="A62" s="16"/>
      <c r="B62" s="42">
        <v>28</v>
      </c>
      <c r="C62" s="42"/>
      <c r="D62" s="16" t="s">
        <v>321</v>
      </c>
      <c r="E62" s="28">
        <v>66</v>
      </c>
      <c r="F62" s="134"/>
      <c r="G62" s="28">
        <v>66</v>
      </c>
      <c r="H62" s="134"/>
      <c r="I62" s="28">
        <v>63</v>
      </c>
      <c r="J62" s="134"/>
      <c r="K62" s="28">
        <v>65</v>
      </c>
      <c r="L62" s="134"/>
      <c r="M62" s="28">
        <v>46</v>
      </c>
      <c r="N62" s="134"/>
      <c r="O62" s="28">
        <v>42</v>
      </c>
      <c r="P62" s="134"/>
      <c r="Q62" s="28">
        <v>38</v>
      </c>
      <c r="R62" s="134"/>
      <c r="S62" s="28">
        <v>35</v>
      </c>
      <c r="T62" s="134"/>
      <c r="U62" s="28">
        <v>36</v>
      </c>
      <c r="V62" s="134"/>
      <c r="W62" s="28">
        <v>37</v>
      </c>
      <c r="X62" s="134"/>
      <c r="Y62" s="28">
        <v>30</v>
      </c>
      <c r="Z62" s="23"/>
      <c r="AA62" s="28">
        <v>25</v>
      </c>
      <c r="AB62" s="28"/>
      <c r="AC62" s="28">
        <v>22</v>
      </c>
      <c r="AD62" s="16"/>
      <c r="AE62" s="28">
        <v>15</v>
      </c>
      <c r="AF62" s="23"/>
      <c r="AG62" s="28">
        <v>15</v>
      </c>
      <c r="AH62" s="16"/>
      <c r="AI62" s="28">
        <v>15</v>
      </c>
      <c r="AJ62" s="16"/>
      <c r="AK62" s="28">
        <v>8</v>
      </c>
      <c r="AL62" s="16"/>
      <c r="AM62" s="28">
        <v>8</v>
      </c>
      <c r="AN62" s="16"/>
      <c r="AO62" s="28">
        <v>8</v>
      </c>
      <c r="AP62" s="23" t="s">
        <v>810</v>
      </c>
      <c r="AQ62" s="28">
        <v>4</v>
      </c>
      <c r="AR62" s="23" t="s">
        <v>810</v>
      </c>
      <c r="AS62" s="28">
        <v>4</v>
      </c>
      <c r="AT62" s="23" t="s">
        <v>810</v>
      </c>
      <c r="AU62" s="28">
        <v>4</v>
      </c>
      <c r="AV62" s="75"/>
      <c r="AW62" s="75"/>
      <c r="AX62" s="16" t="s">
        <v>322</v>
      </c>
      <c r="AY62" s="211"/>
      <c r="AZ62" s="211"/>
      <c r="BA62" s="211"/>
      <c r="BB62" s="211"/>
      <c r="BC62" s="211"/>
      <c r="BD62" s="211"/>
      <c r="BE62" s="211"/>
    </row>
    <row r="63" spans="1:57" ht="4.5" customHeight="1">
      <c r="A63" s="16"/>
      <c r="B63" s="42"/>
      <c r="C63" s="42"/>
      <c r="D63" s="2"/>
      <c r="E63" s="28"/>
      <c r="F63" s="134"/>
      <c r="G63" s="28"/>
      <c r="H63" s="134"/>
      <c r="I63" s="28"/>
      <c r="J63" s="134"/>
      <c r="K63" s="28"/>
      <c r="L63" s="134"/>
      <c r="M63" s="28"/>
      <c r="N63" s="134"/>
      <c r="O63" s="28"/>
      <c r="P63" s="134"/>
      <c r="Q63" s="28"/>
      <c r="R63" s="134"/>
      <c r="S63" s="28"/>
      <c r="T63" s="134"/>
      <c r="U63" s="28"/>
      <c r="V63" s="134"/>
      <c r="W63" s="28"/>
      <c r="X63" s="134"/>
      <c r="Y63" s="28"/>
      <c r="Z63" s="23"/>
      <c r="AA63" s="28"/>
      <c r="AB63" s="28"/>
      <c r="AC63" s="28"/>
      <c r="AD63" s="16"/>
      <c r="AE63" s="28"/>
      <c r="AF63" s="16"/>
      <c r="AG63" s="28"/>
      <c r="AH63" s="16"/>
      <c r="AI63" s="28"/>
      <c r="AJ63" s="16"/>
      <c r="AK63" s="28"/>
      <c r="AL63" s="16"/>
      <c r="AM63" s="28"/>
      <c r="AN63" s="16"/>
      <c r="AO63" s="28"/>
      <c r="AP63" s="16"/>
      <c r="AQ63" s="28"/>
      <c r="AR63" s="16"/>
      <c r="AS63" s="28"/>
      <c r="AT63" s="75"/>
      <c r="AU63" s="28"/>
      <c r="AV63" s="75"/>
      <c r="AW63" s="75"/>
      <c r="AX63" s="2"/>
      <c r="AY63" s="211"/>
      <c r="AZ63" s="211"/>
      <c r="BA63" s="211"/>
      <c r="BB63" s="211"/>
      <c r="BC63" s="211"/>
      <c r="BD63" s="211"/>
      <c r="BE63" s="211"/>
    </row>
    <row r="64" spans="1:57" ht="4.5" customHeight="1">
      <c r="A64" s="16"/>
      <c r="B64" s="42"/>
      <c r="C64" s="42"/>
      <c r="D64" s="2"/>
      <c r="E64" s="28"/>
      <c r="F64" s="134"/>
      <c r="G64" s="28"/>
      <c r="H64" s="134"/>
      <c r="I64" s="28"/>
      <c r="J64" s="134"/>
      <c r="K64" s="28"/>
      <c r="L64" s="134"/>
      <c r="M64" s="28"/>
      <c r="N64" s="134"/>
      <c r="O64" s="28"/>
      <c r="P64" s="134"/>
      <c r="Q64" s="28"/>
      <c r="R64" s="134"/>
      <c r="S64" s="28"/>
      <c r="T64" s="134"/>
      <c r="U64" s="28"/>
      <c r="V64" s="134"/>
      <c r="W64" s="28"/>
      <c r="X64" s="134"/>
      <c r="Y64" s="28"/>
      <c r="Z64" s="23"/>
      <c r="AA64" s="28"/>
      <c r="AB64" s="28"/>
      <c r="AC64" s="28"/>
      <c r="AD64" s="16"/>
      <c r="AE64" s="28"/>
      <c r="AF64" s="16"/>
      <c r="AG64" s="28"/>
      <c r="AH64" s="16"/>
      <c r="AI64" s="28"/>
      <c r="AJ64" s="16"/>
      <c r="AK64" s="28"/>
      <c r="AL64" s="16"/>
      <c r="AM64" s="28"/>
      <c r="AN64" s="16"/>
      <c r="AO64" s="28"/>
      <c r="AP64" s="16"/>
      <c r="AQ64" s="28"/>
      <c r="AR64" s="16"/>
      <c r="AS64" s="28"/>
      <c r="AT64" s="75"/>
      <c r="AU64" s="28"/>
      <c r="AV64" s="75"/>
      <c r="AW64" s="75"/>
      <c r="AX64" s="2"/>
      <c r="AY64" s="211"/>
      <c r="AZ64" s="211"/>
      <c r="BA64" s="211"/>
      <c r="BB64" s="211"/>
      <c r="BC64" s="211"/>
      <c r="BD64" s="211"/>
      <c r="BE64" s="211"/>
    </row>
    <row r="65" spans="1:57" ht="6" customHeight="1">
      <c r="A65" s="16"/>
      <c r="B65" s="42"/>
      <c r="C65" s="42"/>
      <c r="D65" s="16"/>
      <c r="E65" s="28"/>
      <c r="F65" s="134"/>
      <c r="G65" s="28"/>
      <c r="H65" s="134"/>
      <c r="I65" s="28"/>
      <c r="J65" s="134"/>
      <c r="K65" s="28"/>
      <c r="L65" s="134"/>
      <c r="M65" s="28"/>
      <c r="N65" s="134"/>
      <c r="O65" s="28"/>
      <c r="P65" s="134"/>
      <c r="Q65" s="28"/>
      <c r="R65" s="134"/>
      <c r="S65" s="28"/>
      <c r="T65" s="134"/>
      <c r="U65" s="28"/>
      <c r="V65" s="134"/>
      <c r="W65" s="28"/>
      <c r="X65" s="134"/>
      <c r="Y65" s="28"/>
      <c r="Z65" s="23"/>
      <c r="AA65" s="28"/>
      <c r="AB65" s="28"/>
      <c r="AC65" s="28"/>
      <c r="AD65" s="16"/>
      <c r="AE65" s="28"/>
      <c r="AF65" s="16"/>
      <c r="AG65" s="28"/>
      <c r="AH65" s="16"/>
      <c r="AI65" s="28"/>
      <c r="AJ65" s="16"/>
      <c r="AK65" s="28"/>
      <c r="AL65" s="16"/>
      <c r="AM65" s="28"/>
      <c r="AN65" s="16"/>
      <c r="AO65" s="28"/>
      <c r="AP65" s="16"/>
      <c r="AQ65" s="28"/>
      <c r="AR65" s="16"/>
      <c r="AS65" s="28"/>
      <c r="AT65" s="17"/>
      <c r="AU65" s="28"/>
      <c r="AV65" s="17"/>
      <c r="AW65" s="17"/>
      <c r="AX65" s="16"/>
      <c r="AY65" s="211"/>
      <c r="AZ65" s="211"/>
      <c r="BA65" s="211"/>
      <c r="BB65" s="211"/>
      <c r="BC65" s="211"/>
      <c r="BD65" s="211"/>
      <c r="BE65" s="211"/>
    </row>
    <row r="66" spans="1:57" ht="10.5" customHeight="1">
      <c r="A66" s="16"/>
      <c r="B66" s="42">
        <v>29</v>
      </c>
      <c r="C66" s="42"/>
      <c r="D66" s="18" t="s">
        <v>327</v>
      </c>
      <c r="E66" s="65">
        <v>418</v>
      </c>
      <c r="F66" s="132"/>
      <c r="G66" s="65">
        <v>467</v>
      </c>
      <c r="H66" s="132"/>
      <c r="I66" s="65">
        <v>499</v>
      </c>
      <c r="J66" s="132"/>
      <c r="K66" s="65">
        <v>506</v>
      </c>
      <c r="L66" s="132"/>
      <c r="M66" s="65">
        <v>498</v>
      </c>
      <c r="N66" s="132"/>
      <c r="O66" s="65">
        <v>536</v>
      </c>
      <c r="P66" s="132"/>
      <c r="Q66" s="65">
        <v>558</v>
      </c>
      <c r="R66" s="132"/>
      <c r="S66" s="65">
        <v>560</v>
      </c>
      <c r="T66" s="132"/>
      <c r="U66" s="65">
        <v>577</v>
      </c>
      <c r="V66" s="132"/>
      <c r="W66" s="65">
        <v>569</v>
      </c>
      <c r="X66" s="132"/>
      <c r="Y66" s="65">
        <v>585</v>
      </c>
      <c r="Z66" s="67"/>
      <c r="AA66" s="65">
        <v>603</v>
      </c>
      <c r="AB66" s="65"/>
      <c r="AC66" s="65">
        <v>657</v>
      </c>
      <c r="AD66" s="18"/>
      <c r="AE66" s="65">
        <v>661</v>
      </c>
      <c r="AF66" s="23"/>
      <c r="AG66" s="65">
        <v>694</v>
      </c>
      <c r="AH66" s="23"/>
      <c r="AI66" s="65">
        <v>695</v>
      </c>
      <c r="AJ66" s="23"/>
      <c r="AK66" s="65">
        <v>686</v>
      </c>
      <c r="AL66" s="23"/>
      <c r="AM66" s="65">
        <v>703</v>
      </c>
      <c r="AN66" s="23"/>
      <c r="AO66" s="65">
        <v>725</v>
      </c>
      <c r="AP66" s="23"/>
      <c r="AQ66" s="65">
        <v>725</v>
      </c>
      <c r="AR66" s="23"/>
      <c r="AS66" s="65">
        <v>756</v>
      </c>
      <c r="AT66" s="66"/>
      <c r="AU66" s="65">
        <v>775</v>
      </c>
      <c r="AV66" s="66"/>
      <c r="AW66" s="66"/>
      <c r="AX66" s="18" t="s">
        <v>328</v>
      </c>
      <c r="AY66" s="414"/>
      <c r="AZ66" s="211"/>
      <c r="BA66" s="211"/>
      <c r="BB66" s="211"/>
      <c r="BC66" s="211"/>
      <c r="BD66" s="211"/>
      <c r="BE66" s="211"/>
    </row>
    <row r="67" spans="1:57" ht="10.5" customHeight="1">
      <c r="A67" s="16"/>
      <c r="B67" s="42"/>
      <c r="C67" s="42"/>
      <c r="D67" s="18" t="s">
        <v>329</v>
      </c>
      <c r="E67" s="65"/>
      <c r="F67" s="132"/>
      <c r="G67" s="65"/>
      <c r="H67" s="132"/>
      <c r="I67" s="65"/>
      <c r="J67" s="132"/>
      <c r="K67" s="65"/>
      <c r="L67" s="132"/>
      <c r="M67" s="65"/>
      <c r="N67" s="132"/>
      <c r="O67" s="65"/>
      <c r="P67" s="132"/>
      <c r="Q67" s="65"/>
      <c r="R67" s="132"/>
      <c r="S67" s="65"/>
      <c r="T67" s="132"/>
      <c r="U67" s="65"/>
      <c r="V67" s="132"/>
      <c r="W67" s="65"/>
      <c r="X67" s="132"/>
      <c r="Y67" s="65"/>
      <c r="Z67" s="67"/>
      <c r="AA67" s="65"/>
      <c r="AB67" s="65"/>
      <c r="AC67" s="65"/>
      <c r="AD67" s="18"/>
      <c r="AE67" s="65"/>
      <c r="AF67" s="23"/>
      <c r="AG67" s="65"/>
      <c r="AH67" s="23"/>
      <c r="AI67" s="65"/>
      <c r="AJ67" s="23"/>
      <c r="AK67" s="65"/>
      <c r="AL67" s="23"/>
      <c r="AM67" s="65"/>
      <c r="AN67" s="23"/>
      <c r="AO67" s="65"/>
      <c r="AP67" s="23"/>
      <c r="AQ67" s="65"/>
      <c r="AR67" s="23"/>
      <c r="AS67" s="65"/>
      <c r="AT67" s="66"/>
      <c r="AU67" s="65"/>
      <c r="AV67" s="66"/>
      <c r="AW67" s="66"/>
      <c r="AX67" s="18"/>
    </row>
    <row r="68" spans="1:57" ht="10.5" customHeight="1">
      <c r="A68" s="16"/>
      <c r="B68" s="42">
        <v>30</v>
      </c>
      <c r="C68" s="42"/>
      <c r="D68" s="18" t="s">
        <v>487</v>
      </c>
      <c r="E68" s="65">
        <v>429</v>
      </c>
      <c r="F68" s="132"/>
      <c r="G68" s="65">
        <v>517</v>
      </c>
      <c r="H68" s="132"/>
      <c r="I68" s="65">
        <v>584</v>
      </c>
      <c r="J68" s="132"/>
      <c r="K68" s="65">
        <v>623</v>
      </c>
      <c r="L68" s="132"/>
      <c r="M68" s="65">
        <v>620</v>
      </c>
      <c r="N68" s="132"/>
      <c r="O68" s="65">
        <v>756</v>
      </c>
      <c r="P68" s="132"/>
      <c r="Q68" s="65">
        <v>823</v>
      </c>
      <c r="R68" s="132"/>
      <c r="S68" s="65">
        <v>1057</v>
      </c>
      <c r="T68" s="132"/>
      <c r="U68" s="65">
        <v>1167</v>
      </c>
      <c r="V68" s="132"/>
      <c r="W68" s="65">
        <v>1161</v>
      </c>
      <c r="X68" s="132"/>
      <c r="Y68" s="65">
        <v>1250</v>
      </c>
      <c r="Z68" s="67"/>
      <c r="AA68" s="65">
        <v>1336</v>
      </c>
      <c r="AB68" s="65"/>
      <c r="AC68" s="65">
        <v>1611</v>
      </c>
      <c r="AD68" s="18"/>
      <c r="AE68" s="65">
        <v>1684</v>
      </c>
      <c r="AF68" s="23"/>
      <c r="AG68" s="65">
        <v>1768</v>
      </c>
      <c r="AH68" s="23"/>
      <c r="AI68" s="65">
        <v>1800</v>
      </c>
      <c r="AJ68" s="23"/>
      <c r="AK68" s="65">
        <v>1917</v>
      </c>
      <c r="AL68" s="23"/>
      <c r="AM68" s="65">
        <v>2058</v>
      </c>
      <c r="AN68" s="23"/>
      <c r="AO68" s="65">
        <v>2144</v>
      </c>
      <c r="AP68" s="23"/>
      <c r="AQ68" s="65">
        <v>2154</v>
      </c>
      <c r="AR68" s="23"/>
      <c r="AS68" s="65">
        <v>2300</v>
      </c>
      <c r="AT68" s="66"/>
      <c r="AU68" s="65">
        <v>2365</v>
      </c>
      <c r="AV68" s="66"/>
      <c r="AW68" s="66"/>
      <c r="AX68" s="18" t="s">
        <v>330</v>
      </c>
    </row>
    <row r="69" spans="1:57" ht="10.5" customHeight="1">
      <c r="A69" s="16"/>
      <c r="B69" s="42"/>
      <c r="C69" s="42"/>
      <c r="D69" s="18" t="s">
        <v>486</v>
      </c>
      <c r="E69" s="18"/>
      <c r="F69" s="132"/>
      <c r="G69" s="18"/>
      <c r="H69" s="132"/>
      <c r="I69" s="18"/>
      <c r="J69" s="132"/>
      <c r="K69" s="18"/>
      <c r="L69" s="132"/>
      <c r="M69" s="18"/>
      <c r="N69" s="132"/>
      <c r="O69" s="18"/>
      <c r="P69" s="132"/>
      <c r="Q69" s="18"/>
      <c r="R69" s="132"/>
      <c r="S69" s="18"/>
      <c r="T69" s="132"/>
      <c r="U69" s="18"/>
      <c r="V69" s="132"/>
      <c r="W69" s="18"/>
      <c r="X69" s="132"/>
      <c r="Y69" s="18"/>
      <c r="Z69" s="67"/>
      <c r="AA69" s="65"/>
      <c r="AB69" s="65"/>
      <c r="AC69" s="65"/>
      <c r="AD69" s="18"/>
      <c r="AE69" s="65"/>
      <c r="AF69" s="18"/>
      <c r="AG69" s="65"/>
      <c r="AH69" s="18"/>
      <c r="AI69" s="65"/>
      <c r="AJ69" s="18"/>
      <c r="AK69" s="65"/>
      <c r="AL69" s="18"/>
      <c r="AM69" s="65"/>
      <c r="AN69" s="18"/>
      <c r="AO69" s="65"/>
      <c r="AP69" s="18"/>
      <c r="AQ69" s="65"/>
      <c r="AR69" s="18"/>
      <c r="AS69" s="66"/>
      <c r="AT69" s="66"/>
      <c r="AU69" s="66"/>
      <c r="AV69" s="66"/>
      <c r="AW69" s="66"/>
      <c r="AX69" s="18" t="s">
        <v>331</v>
      </c>
    </row>
    <row r="70" spans="1:57" ht="5.0999999999999996" customHeight="1">
      <c r="A70" s="16"/>
      <c r="B70" s="107"/>
      <c r="C70" s="107"/>
      <c r="D70" s="107"/>
      <c r="E70" s="107"/>
      <c r="F70" s="107"/>
      <c r="G70" s="107"/>
      <c r="H70" s="107"/>
      <c r="I70" s="107"/>
      <c r="J70" s="107"/>
      <c r="K70" s="107"/>
      <c r="L70" s="107"/>
      <c r="M70" s="107"/>
      <c r="N70" s="107"/>
      <c r="O70" s="107"/>
      <c r="P70" s="107"/>
      <c r="Q70" s="107"/>
      <c r="R70" s="107"/>
      <c r="S70" s="107"/>
      <c r="T70" s="107"/>
      <c r="U70" s="107"/>
      <c r="V70" s="107"/>
      <c r="W70" s="4"/>
      <c r="X70" s="4"/>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row>
    <row r="71" spans="1:57">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3">
        <f>AK68+AK29</f>
        <v>2021</v>
      </c>
      <c r="AL71" s="2"/>
      <c r="AM71" s="3">
        <f>AM68+AM29</f>
        <v>2166</v>
      </c>
      <c r="AN71" s="2"/>
      <c r="AO71" s="3">
        <f>AO68+AO29</f>
        <v>2253</v>
      </c>
      <c r="AP71" s="2"/>
      <c r="AQ71" s="3">
        <f>AQ68+AQ29</f>
        <v>2256</v>
      </c>
      <c r="AR71" s="2"/>
      <c r="AS71" s="28">
        <f>AS68+AS29</f>
        <v>2405</v>
      </c>
      <c r="AT71" s="16"/>
      <c r="AU71" s="28">
        <f>AU68+AU29</f>
        <v>2472</v>
      </c>
      <c r="AV71" s="2"/>
      <c r="AW71" s="2"/>
      <c r="AX71" s="2"/>
    </row>
    <row r="72" spans="1:57">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3"/>
      <c r="AL72" s="3"/>
      <c r="AM72" s="3"/>
      <c r="AN72" s="3"/>
      <c r="AO72" s="3"/>
      <c r="AP72" s="2" t="e">
        <f t="shared" ref="AP72" si="0">AP44+AP56+AP57</f>
        <v>#VALUE!</v>
      </c>
      <c r="AQ72" s="2"/>
      <c r="AR72" s="2"/>
      <c r="AS72" s="2"/>
      <c r="AT72" s="2"/>
      <c r="AU72" s="2"/>
      <c r="AV72" s="2"/>
      <c r="AW72" s="2"/>
      <c r="AX72" s="2"/>
    </row>
    <row r="73" spans="1:57">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7">
      <c r="B74" s="10" t="s">
        <v>1088</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7">
      <c r="B75" s="156" t="s">
        <v>1089</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7" ht="6" customHeight="1">
      <c r="B76" s="62"/>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row>
    <row r="77" spans="1:57" ht="6" customHeight="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7">
      <c r="B78" s="523" t="s">
        <v>291</v>
      </c>
      <c r="C78" s="523"/>
      <c r="D78" s="523"/>
      <c r="E78" s="281">
        <v>2000</v>
      </c>
      <c r="F78" s="281"/>
      <c r="G78" s="281">
        <v>2001</v>
      </c>
      <c r="H78" s="404"/>
      <c r="I78" s="281">
        <v>2002</v>
      </c>
      <c r="J78" s="404"/>
      <c r="K78" s="281">
        <v>2003</v>
      </c>
      <c r="L78" s="404"/>
      <c r="M78" s="281">
        <v>2004</v>
      </c>
      <c r="N78" s="404"/>
      <c r="O78" s="281">
        <v>2005</v>
      </c>
      <c r="P78" s="404"/>
      <c r="Q78" s="281">
        <v>2006</v>
      </c>
      <c r="R78" s="404"/>
      <c r="S78" s="281">
        <v>2007</v>
      </c>
      <c r="T78" s="407"/>
      <c r="U78" s="281">
        <v>2008</v>
      </c>
      <c r="V78" s="407"/>
      <c r="W78" s="281">
        <v>2009</v>
      </c>
      <c r="X78" s="407"/>
      <c r="Y78" s="281">
        <v>2010</v>
      </c>
      <c r="Z78" s="407"/>
      <c r="AA78" s="281">
        <v>2011</v>
      </c>
      <c r="AB78" s="407"/>
      <c r="AC78" s="281">
        <v>2012</v>
      </c>
      <c r="AD78" s="407"/>
      <c r="AE78" s="281">
        <v>2013</v>
      </c>
      <c r="AF78" s="407"/>
      <c r="AG78" s="281">
        <v>2014</v>
      </c>
      <c r="AH78" s="407"/>
      <c r="AI78" s="281">
        <v>2015</v>
      </c>
      <c r="AJ78" s="407"/>
      <c r="AK78" s="281">
        <v>2016</v>
      </c>
      <c r="AL78" s="407"/>
      <c r="AM78" s="281">
        <v>2017</v>
      </c>
      <c r="AN78" s="407"/>
      <c r="AO78" s="281">
        <v>2018</v>
      </c>
      <c r="AP78" s="407"/>
      <c r="AQ78" s="281">
        <v>2019</v>
      </c>
      <c r="AR78" s="407"/>
      <c r="AS78" s="281">
        <v>2020</v>
      </c>
      <c r="AT78" s="407"/>
      <c r="AU78" s="281">
        <v>2021</v>
      </c>
      <c r="AV78" s="407"/>
      <c r="AW78" s="63"/>
      <c r="AX78" s="283" t="s">
        <v>332</v>
      </c>
    </row>
    <row r="79" spans="1:57" ht="6" customHeight="1">
      <c r="B79" s="79"/>
      <c r="C79" s="79"/>
      <c r="D79" s="79"/>
      <c r="E79" s="80"/>
      <c r="F79" s="80"/>
      <c r="G79" s="80"/>
      <c r="H79" s="81"/>
      <c r="I79" s="80"/>
      <c r="J79" s="81"/>
      <c r="K79" s="80"/>
      <c r="L79" s="81"/>
      <c r="M79" s="80"/>
      <c r="N79" s="81"/>
      <c r="O79" s="80"/>
      <c r="P79" s="81"/>
      <c r="Q79" s="80"/>
      <c r="R79" s="81"/>
      <c r="S79" s="80"/>
      <c r="T79" s="7"/>
      <c r="U79" s="80"/>
      <c r="V79" s="7"/>
      <c r="W79" s="80"/>
      <c r="X79" s="7"/>
      <c r="Y79" s="80"/>
      <c r="Z79" s="7"/>
      <c r="AA79" s="80"/>
      <c r="AB79" s="80"/>
      <c r="AC79" s="80"/>
      <c r="AD79" s="7"/>
      <c r="AE79" s="80"/>
      <c r="AF79" s="7"/>
      <c r="AG79" s="80"/>
      <c r="AH79" s="7"/>
      <c r="AI79" s="80"/>
      <c r="AJ79" s="7"/>
      <c r="AK79" s="80"/>
      <c r="AL79" s="7"/>
      <c r="AM79" s="80"/>
      <c r="AN79" s="7"/>
      <c r="AO79" s="80"/>
      <c r="AP79" s="7"/>
      <c r="AQ79" s="80"/>
      <c r="AR79" s="7"/>
      <c r="AS79" s="79"/>
      <c r="AT79" s="79"/>
      <c r="AU79" s="79"/>
      <c r="AV79" s="79"/>
      <c r="AW79" s="79"/>
      <c r="AX79" s="79"/>
    </row>
    <row r="80" spans="1:57" ht="6" customHeight="1">
      <c r="B80" s="42"/>
      <c r="C80" s="42"/>
      <c r="D80" s="16"/>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6"/>
    </row>
    <row r="81" spans="2:52">
      <c r="B81" s="42">
        <v>1</v>
      </c>
      <c r="C81" s="42"/>
      <c r="D81" s="16" t="s">
        <v>317</v>
      </c>
      <c r="E81" s="75">
        <v>352</v>
      </c>
      <c r="F81" s="75"/>
      <c r="G81" s="75">
        <v>353</v>
      </c>
      <c r="H81" s="75"/>
      <c r="I81" s="75">
        <v>363</v>
      </c>
      <c r="J81" s="75"/>
      <c r="K81" s="75">
        <v>383</v>
      </c>
      <c r="L81" s="75"/>
      <c r="M81" s="75">
        <v>383</v>
      </c>
      <c r="N81" s="75"/>
      <c r="O81" s="75">
        <v>389</v>
      </c>
      <c r="P81" s="75"/>
      <c r="Q81" s="75">
        <v>407</v>
      </c>
      <c r="R81" s="75"/>
      <c r="S81" s="75">
        <v>439</v>
      </c>
      <c r="T81" s="75"/>
      <c r="U81" s="75">
        <v>472</v>
      </c>
      <c r="V81" s="75"/>
      <c r="W81" s="75">
        <v>484</v>
      </c>
      <c r="X81" s="75"/>
      <c r="Y81" s="75">
        <v>496</v>
      </c>
      <c r="Z81" s="23"/>
      <c r="AA81" s="75">
        <v>532</v>
      </c>
      <c r="AB81" s="75"/>
      <c r="AC81" s="75">
        <v>564</v>
      </c>
      <c r="AD81" s="23"/>
      <c r="AE81" s="75">
        <v>569</v>
      </c>
      <c r="AF81" s="23"/>
      <c r="AG81" s="75">
        <v>574</v>
      </c>
      <c r="AH81" s="23"/>
      <c r="AI81" s="75">
        <v>604</v>
      </c>
      <c r="AJ81" s="23"/>
      <c r="AK81" s="75">
        <v>623</v>
      </c>
      <c r="AL81" s="23"/>
      <c r="AM81" s="75">
        <v>622</v>
      </c>
      <c r="AN81" s="23"/>
      <c r="AO81" s="75">
        <v>621</v>
      </c>
      <c r="AP81" s="23"/>
      <c r="AQ81" s="75">
        <v>615</v>
      </c>
      <c r="AR81" s="23"/>
      <c r="AS81" s="17">
        <v>622</v>
      </c>
      <c r="AT81" s="17"/>
      <c r="AU81" s="17">
        <v>601</v>
      </c>
      <c r="AV81" s="17"/>
      <c r="AW81" s="17"/>
      <c r="AX81" s="16" t="s">
        <v>318</v>
      </c>
    </row>
    <row r="82" spans="2:52" ht="6" customHeight="1">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row>
    <row r="83" spans="2:52" ht="6" customHeight="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2:52" ht="14.25" customHeight="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2:52" ht="14.25" customHeight="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2:52">
      <c r="B86" s="10" t="s">
        <v>1091</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2:52">
      <c r="B87" s="156" t="s">
        <v>1090</v>
      </c>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2:52" ht="6" customHeight="1">
      <c r="B88" s="62"/>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row>
    <row r="89" spans="2:52" ht="6" customHeight="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2:52">
      <c r="B90" s="523" t="s">
        <v>291</v>
      </c>
      <c r="C90" s="523"/>
      <c r="D90" s="523"/>
      <c r="E90" s="281">
        <v>2000</v>
      </c>
      <c r="F90" s="404"/>
      <c r="G90" s="281">
        <v>2001</v>
      </c>
      <c r="H90" s="404"/>
      <c r="I90" s="281">
        <v>2002</v>
      </c>
      <c r="J90" s="404"/>
      <c r="K90" s="281">
        <v>2003</v>
      </c>
      <c r="L90" s="404"/>
      <c r="M90" s="281">
        <v>2004</v>
      </c>
      <c r="N90" s="404"/>
      <c r="O90" s="281">
        <v>2005</v>
      </c>
      <c r="P90" s="404"/>
      <c r="Q90" s="281">
        <v>2006</v>
      </c>
      <c r="R90" s="404"/>
      <c r="S90" s="281">
        <v>2007</v>
      </c>
      <c r="T90" s="407"/>
      <c r="U90" s="281">
        <v>2008</v>
      </c>
      <c r="V90" s="407"/>
      <c r="W90" s="281">
        <v>2009</v>
      </c>
      <c r="X90" s="407"/>
      <c r="Y90" s="281">
        <v>2010</v>
      </c>
      <c r="Z90" s="407"/>
      <c r="AA90" s="281">
        <v>2011</v>
      </c>
      <c r="AB90" s="407"/>
      <c r="AC90" s="281">
        <v>2012</v>
      </c>
      <c r="AD90" s="407"/>
      <c r="AE90" s="281">
        <v>2013</v>
      </c>
      <c r="AF90" s="407"/>
      <c r="AG90" s="281">
        <v>2014</v>
      </c>
      <c r="AH90" s="407"/>
      <c r="AI90" s="281">
        <v>2015</v>
      </c>
      <c r="AJ90" s="407"/>
      <c r="AK90" s="281">
        <v>2016</v>
      </c>
      <c r="AL90" s="407"/>
      <c r="AM90" s="281">
        <v>2017</v>
      </c>
      <c r="AN90" s="407"/>
      <c r="AO90" s="281">
        <v>2018</v>
      </c>
      <c r="AP90" s="407"/>
      <c r="AQ90" s="281">
        <v>2019</v>
      </c>
      <c r="AR90" s="407"/>
      <c r="AS90" s="281">
        <v>2020</v>
      </c>
      <c r="AT90" s="407"/>
      <c r="AU90" s="281">
        <v>2021</v>
      </c>
      <c r="AV90" s="407"/>
      <c r="AW90" s="63"/>
      <c r="AX90" s="283" t="s">
        <v>332</v>
      </c>
    </row>
    <row r="91" spans="2:52" ht="6" customHeight="1">
      <c r="B91" s="79"/>
      <c r="C91" s="79"/>
      <c r="D91" s="79"/>
      <c r="E91" s="80"/>
      <c r="F91" s="81"/>
      <c r="G91" s="80"/>
      <c r="H91" s="81"/>
      <c r="I91" s="80"/>
      <c r="J91" s="81"/>
      <c r="K91" s="80"/>
      <c r="L91" s="81"/>
      <c r="M91" s="80"/>
      <c r="N91" s="81"/>
      <c r="O91" s="80"/>
      <c r="P91" s="81"/>
      <c r="Q91" s="80"/>
      <c r="R91" s="81"/>
      <c r="S91" s="80"/>
      <c r="T91" s="7"/>
      <c r="U91" s="80"/>
      <c r="V91" s="7"/>
      <c r="W91" s="80"/>
      <c r="X91" s="7"/>
      <c r="Y91" s="80"/>
      <c r="Z91" s="7"/>
      <c r="AA91" s="80"/>
      <c r="AB91" s="80"/>
      <c r="AC91" s="80"/>
      <c r="AD91" s="7"/>
      <c r="AE91" s="80"/>
      <c r="AF91" s="7"/>
      <c r="AG91" s="80"/>
      <c r="AH91" s="7"/>
      <c r="AI91" s="80"/>
      <c r="AJ91" s="7"/>
      <c r="AK91" s="80"/>
      <c r="AL91" s="7"/>
      <c r="AM91" s="80"/>
      <c r="AN91" s="7"/>
      <c r="AO91" s="80"/>
      <c r="AP91" s="7"/>
      <c r="AQ91" s="80"/>
      <c r="AR91" s="7"/>
      <c r="AS91" s="79"/>
      <c r="AT91" s="79"/>
      <c r="AU91" s="79"/>
      <c r="AV91" s="79"/>
      <c r="AW91" s="79"/>
      <c r="AX91" s="79"/>
    </row>
    <row r="92" spans="2:52" ht="6" customHeight="1">
      <c r="B92" s="42"/>
      <c r="C92" s="42"/>
      <c r="D92" s="122"/>
      <c r="E92" s="16"/>
      <c r="F92" s="16"/>
      <c r="G92" s="16"/>
      <c r="H92" s="16"/>
      <c r="I92" s="16"/>
      <c r="J92" s="16"/>
      <c r="K92" s="16"/>
      <c r="L92" s="16"/>
      <c r="M92" s="16"/>
      <c r="N92" s="16"/>
      <c r="O92" s="16"/>
      <c r="P92" s="16"/>
      <c r="Q92" s="16"/>
      <c r="R92" s="16"/>
      <c r="S92" s="16"/>
      <c r="T92" s="16"/>
      <c r="U92" s="16"/>
      <c r="V92" s="16"/>
      <c r="W92" s="17"/>
      <c r="X92" s="16"/>
      <c r="Y92" s="17"/>
      <c r="Z92" s="16"/>
      <c r="AA92" s="17"/>
      <c r="AB92" s="17"/>
      <c r="AC92" s="17"/>
      <c r="AD92" s="16"/>
      <c r="AE92" s="17"/>
      <c r="AF92" s="16"/>
      <c r="AG92" s="17"/>
      <c r="AH92" s="16"/>
      <c r="AI92" s="17"/>
      <c r="AJ92" s="16"/>
      <c r="AK92" s="17"/>
      <c r="AL92" s="16"/>
      <c r="AM92" s="17"/>
      <c r="AN92" s="16"/>
      <c r="AO92" s="17"/>
      <c r="AP92" s="16"/>
      <c r="AQ92" s="17"/>
      <c r="AR92" s="16"/>
      <c r="AS92" s="17"/>
      <c r="AT92" s="17"/>
      <c r="AU92" s="17"/>
      <c r="AV92" s="17"/>
      <c r="AW92" s="17"/>
      <c r="AX92" s="16"/>
    </row>
    <row r="93" spans="2:52">
      <c r="B93" s="42">
        <v>1</v>
      </c>
      <c r="C93" s="42"/>
      <c r="D93" s="16" t="s">
        <v>317</v>
      </c>
      <c r="E93" s="16">
        <v>800</v>
      </c>
      <c r="F93" s="28"/>
      <c r="G93" s="16">
        <v>741</v>
      </c>
      <c r="H93" s="28"/>
      <c r="I93" s="16">
        <v>617</v>
      </c>
      <c r="J93" s="28"/>
      <c r="K93" s="16">
        <v>584</v>
      </c>
      <c r="L93" s="28"/>
      <c r="M93" s="16">
        <v>535</v>
      </c>
      <c r="N93" s="28"/>
      <c r="O93" s="16">
        <v>535</v>
      </c>
      <c r="P93" s="28"/>
      <c r="Q93" s="16">
        <v>535</v>
      </c>
      <c r="R93" s="28"/>
      <c r="S93" s="16">
        <v>535</v>
      </c>
      <c r="T93" s="28"/>
      <c r="U93" s="16">
        <v>515</v>
      </c>
      <c r="V93" s="28"/>
      <c r="W93" s="16">
        <v>515</v>
      </c>
      <c r="X93" s="28"/>
      <c r="Y93" s="16">
        <v>513</v>
      </c>
      <c r="Z93" s="23"/>
      <c r="AA93" s="16">
        <v>513</v>
      </c>
      <c r="AB93" s="16"/>
      <c r="AC93" s="16">
        <v>513</v>
      </c>
      <c r="AD93" s="28"/>
      <c r="AE93" s="16">
        <v>513</v>
      </c>
      <c r="AF93" s="23"/>
      <c r="AG93" s="16">
        <v>497</v>
      </c>
      <c r="AH93" s="23"/>
      <c r="AI93" s="16">
        <v>497</v>
      </c>
      <c r="AJ93" s="23"/>
      <c r="AK93" s="16">
        <v>497</v>
      </c>
      <c r="AL93" s="23"/>
      <c r="AM93" s="16">
        <v>497</v>
      </c>
      <c r="AN93" s="23"/>
      <c r="AO93" s="16">
        <v>497</v>
      </c>
      <c r="AP93" s="23"/>
      <c r="AQ93" s="16">
        <v>495</v>
      </c>
      <c r="AR93" s="23"/>
      <c r="AS93" s="17">
        <v>507</v>
      </c>
      <c r="AT93" s="17"/>
      <c r="AU93" s="17">
        <v>484</v>
      </c>
      <c r="AV93" s="17"/>
      <c r="AW93" s="17"/>
      <c r="AX93" s="16" t="s">
        <v>318</v>
      </c>
      <c r="AZ93" s="322"/>
    </row>
    <row r="94" spans="2:52" ht="6" customHeight="1">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row>
  </sheetData>
  <mergeCells count="3">
    <mergeCell ref="B5:D5"/>
    <mergeCell ref="B78:D78"/>
    <mergeCell ref="B90:D90"/>
  </mergeCells>
  <printOptions horizontalCentered="1"/>
  <pageMargins left="0" right="0" top="0" bottom="0" header="0" footer="0"/>
  <pageSetup paperSize="9" scale="93" orientation="portrait" r:id="rId1"/>
  <ignoredErrors>
    <ignoredError sqref="AP72" evalError="1"/>
  </ignoredError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AY64"/>
  <sheetViews>
    <sheetView workbookViewId="0"/>
  </sheetViews>
  <sheetFormatPr defaultColWidth="9.109375" defaultRowHeight="13.8" outlineLevelCol="1"/>
  <cols>
    <col min="1" max="1" width="0.44140625" style="11" customWidth="1"/>
    <col min="2" max="2" width="2.6640625" style="11" customWidth="1"/>
    <col min="3" max="3" width="0.88671875" style="11" customWidth="1"/>
    <col min="4" max="4" width="22.88671875" style="11" customWidth="1"/>
    <col min="5" max="5" width="7.6640625" style="11" hidden="1" customWidth="1" outlineLevel="1"/>
    <col min="6" max="6" width="1.33203125" style="11" hidden="1" customWidth="1" outlineLevel="1"/>
    <col min="7" max="7" width="7.6640625" style="11" hidden="1" customWidth="1" outlineLevel="1"/>
    <col min="8" max="8" width="1.33203125" style="11" hidden="1" customWidth="1" outlineLevel="1"/>
    <col min="9" max="9" width="7.6640625" style="11" hidden="1" customWidth="1" outlineLevel="1"/>
    <col min="10" max="10" width="1.33203125" style="11" hidden="1" customWidth="1" outlineLevel="1"/>
    <col min="11" max="11" width="7.6640625" style="11" hidden="1" customWidth="1" outlineLevel="1"/>
    <col min="12" max="12" width="1.33203125" style="11" hidden="1" customWidth="1" outlineLevel="1"/>
    <col min="13" max="13" width="7.6640625" style="11" hidden="1" customWidth="1" outlineLevel="1"/>
    <col min="14" max="14" width="1.33203125" style="11" hidden="1" customWidth="1" outlineLevel="1"/>
    <col min="15" max="15" width="7.6640625" style="11" hidden="1" customWidth="1" outlineLevel="1"/>
    <col min="16" max="16" width="1.33203125" style="11" hidden="1" customWidth="1" outlineLevel="1"/>
    <col min="17" max="17" width="7.6640625" style="11" hidden="1" customWidth="1" outlineLevel="1"/>
    <col min="18" max="18" width="1.33203125" style="11" hidden="1" customWidth="1" outlineLevel="1"/>
    <col min="19" max="19" width="7.6640625" style="11" hidden="1" customWidth="1" outlineLevel="1"/>
    <col min="20" max="20" width="1.33203125" style="11" hidden="1" customWidth="1" outlineLevel="1"/>
    <col min="21" max="21" width="7.6640625" style="11" hidden="1" customWidth="1" outlineLevel="1"/>
    <col min="22" max="22" width="1.33203125" style="11" hidden="1" customWidth="1" outlineLevel="1"/>
    <col min="23" max="23" width="7.6640625" style="11" hidden="1" customWidth="1" outlineLevel="1"/>
    <col min="24" max="24" width="1.33203125" style="11" hidden="1" customWidth="1" outlineLevel="1"/>
    <col min="25" max="25" width="7.6640625" style="11" hidden="1" customWidth="1" outlineLevel="1"/>
    <col min="26" max="26" width="1.33203125" style="11" hidden="1" customWidth="1" outlineLevel="1"/>
    <col min="27" max="27" width="7.6640625" style="11" hidden="1" customWidth="1" outlineLevel="1"/>
    <col min="28" max="28" width="1.33203125" style="11" hidden="1" customWidth="1" outlineLevel="1"/>
    <col min="29" max="29" width="7.6640625" style="11" hidden="1" customWidth="1" outlineLevel="1"/>
    <col min="30" max="30" width="1.33203125" style="11" hidden="1" customWidth="1" outlineLevel="1"/>
    <col min="31" max="31" width="7.6640625" style="11" hidden="1" customWidth="1" outlineLevel="1"/>
    <col min="32" max="32" width="1.33203125" style="11" hidden="1" customWidth="1" outlineLevel="1"/>
    <col min="33" max="33" width="7.6640625" style="11" hidden="1" customWidth="1" outlineLevel="1"/>
    <col min="34" max="34" width="1.33203125" style="11" hidden="1" customWidth="1" outlineLevel="1"/>
    <col min="35" max="35" width="7.6640625" style="11" hidden="1" customWidth="1" outlineLevel="1"/>
    <col min="36" max="36" width="1.33203125" style="11" hidden="1" customWidth="1" outlineLevel="1"/>
    <col min="37" max="37" width="7.6640625" style="11" customWidth="1" collapsed="1"/>
    <col min="38" max="38" width="1.33203125" style="11" customWidth="1"/>
    <col min="39" max="39" width="7.6640625" style="11" customWidth="1"/>
    <col min="40" max="40" width="1.33203125" style="11" customWidth="1"/>
    <col min="41" max="41" width="7.6640625" style="11" customWidth="1"/>
    <col min="42" max="42" width="1.33203125" style="11" customWidth="1"/>
    <col min="43" max="43" width="7.6640625" style="11" customWidth="1"/>
    <col min="44" max="44" width="1.33203125" style="11" customWidth="1"/>
    <col min="45" max="45" width="6.5546875" style="11" bestFit="1" customWidth="1"/>
    <col min="46" max="46" width="1.88671875" style="11" customWidth="1"/>
    <col min="47" max="47" width="6.5546875" style="11" bestFit="1" customWidth="1"/>
    <col min="48" max="48" width="1.88671875" style="11" customWidth="1"/>
    <col min="49" max="49" width="0.88671875" style="11" customWidth="1"/>
    <col min="50" max="50" width="27.6640625" style="11" customWidth="1"/>
    <col min="51" max="16384" width="9.109375" style="11"/>
  </cols>
  <sheetData>
    <row r="1" spans="2:51">
      <c r="B1" s="10" t="s">
        <v>1108</v>
      </c>
    </row>
    <row r="2" spans="2:51">
      <c r="B2" s="156" t="s">
        <v>1109</v>
      </c>
    </row>
    <row r="3" spans="2:51" ht="6" customHeight="1">
      <c r="B3" s="6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row>
    <row r="4" spans="2:51" ht="6" customHeight="1"/>
    <row r="5" spans="2:51" ht="14.25" customHeight="1">
      <c r="B5" s="523" t="s">
        <v>517</v>
      </c>
      <c r="C5" s="523"/>
      <c r="D5" s="523"/>
      <c r="E5" s="281">
        <v>2000</v>
      </c>
      <c r="F5" s="404"/>
      <c r="G5" s="281">
        <v>2001</v>
      </c>
      <c r="H5" s="404"/>
      <c r="I5" s="281">
        <v>2002</v>
      </c>
      <c r="J5" s="404"/>
      <c r="K5" s="281">
        <v>2003</v>
      </c>
      <c r="L5" s="404"/>
      <c r="M5" s="281">
        <v>2004</v>
      </c>
      <c r="N5" s="404"/>
      <c r="O5" s="281">
        <v>2005</v>
      </c>
      <c r="P5" s="404"/>
      <c r="Q5" s="281">
        <v>2006</v>
      </c>
      <c r="R5" s="404"/>
      <c r="S5" s="281">
        <v>2007</v>
      </c>
      <c r="T5" s="404"/>
      <c r="U5" s="281">
        <v>2008</v>
      </c>
      <c r="V5" s="404"/>
      <c r="W5" s="281">
        <v>2009</v>
      </c>
      <c r="X5" s="404"/>
      <c r="Y5" s="281">
        <v>2010</v>
      </c>
      <c r="Z5" s="404"/>
      <c r="AA5" s="281">
        <v>2011</v>
      </c>
      <c r="AB5" s="404"/>
      <c r="AC5" s="281">
        <v>2012</v>
      </c>
      <c r="AD5" s="404"/>
      <c r="AE5" s="281">
        <v>2013</v>
      </c>
      <c r="AF5" s="404"/>
      <c r="AG5" s="281">
        <v>2014</v>
      </c>
      <c r="AH5" s="404"/>
      <c r="AI5" s="281">
        <v>2015</v>
      </c>
      <c r="AJ5" s="404"/>
      <c r="AK5" s="281">
        <v>2016</v>
      </c>
      <c r="AL5" s="404"/>
      <c r="AM5" s="281">
        <v>2017</v>
      </c>
      <c r="AN5" s="404"/>
      <c r="AO5" s="281">
        <v>2018</v>
      </c>
      <c r="AP5" s="404"/>
      <c r="AQ5" s="281">
        <v>2019</v>
      </c>
      <c r="AR5" s="404"/>
      <c r="AS5" s="281">
        <v>2020</v>
      </c>
      <c r="AT5" s="404"/>
      <c r="AU5" s="281">
        <v>2021</v>
      </c>
      <c r="AV5" s="404"/>
      <c r="AX5" s="283" t="s">
        <v>518</v>
      </c>
    </row>
    <row r="6" spans="2:51" ht="6" customHeight="1">
      <c r="B6" s="80"/>
      <c r="C6" s="80"/>
      <c r="D6" s="80"/>
      <c r="E6" s="80"/>
      <c r="F6" s="81"/>
      <c r="G6" s="80"/>
      <c r="H6" s="81"/>
      <c r="I6" s="80"/>
      <c r="J6" s="81"/>
      <c r="K6" s="80"/>
      <c r="L6" s="81"/>
      <c r="M6" s="80"/>
      <c r="N6" s="81"/>
      <c r="O6" s="80"/>
      <c r="P6" s="81"/>
      <c r="Q6" s="80"/>
      <c r="R6" s="81"/>
      <c r="S6" s="80"/>
      <c r="T6" s="81"/>
      <c r="U6" s="80"/>
      <c r="V6" s="81"/>
      <c r="W6" s="80"/>
      <c r="X6" s="81"/>
      <c r="Y6" s="80"/>
      <c r="Z6" s="81"/>
      <c r="AA6" s="80"/>
      <c r="AB6" s="81"/>
      <c r="AC6" s="81"/>
      <c r="AD6" s="81"/>
      <c r="AE6" s="80"/>
      <c r="AF6" s="81"/>
      <c r="AG6" s="80"/>
      <c r="AH6" s="81"/>
      <c r="AI6" s="80"/>
      <c r="AJ6" s="81"/>
      <c r="AK6" s="80"/>
      <c r="AL6" s="81"/>
      <c r="AM6" s="80"/>
      <c r="AN6" s="81"/>
      <c r="AO6" s="80"/>
      <c r="AP6" s="81"/>
      <c r="AQ6" s="80"/>
      <c r="AR6" s="81"/>
      <c r="AS6" s="80"/>
      <c r="AT6" s="80"/>
      <c r="AU6" s="80"/>
      <c r="AV6" s="80"/>
      <c r="AW6" s="80"/>
      <c r="AX6" s="81"/>
    </row>
    <row r="7" spans="2:51" ht="6" customHeight="1">
      <c r="B7" s="42"/>
      <c r="C7" s="42"/>
      <c r="D7" s="16"/>
      <c r="E7" s="16"/>
      <c r="F7" s="16"/>
      <c r="G7" s="16"/>
      <c r="H7" s="16"/>
      <c r="I7" s="16"/>
      <c r="J7" s="16"/>
      <c r="K7" s="16"/>
      <c r="L7" s="16"/>
      <c r="M7" s="16"/>
      <c r="N7" s="16"/>
      <c r="O7" s="16"/>
      <c r="P7" s="16"/>
      <c r="Q7" s="16"/>
      <c r="R7" s="16"/>
      <c r="S7" s="16"/>
      <c r="T7" s="16"/>
      <c r="U7" s="16"/>
      <c r="V7" s="16"/>
      <c r="W7" s="17"/>
      <c r="X7" s="16"/>
      <c r="Y7" s="17"/>
      <c r="Z7" s="16"/>
      <c r="AA7" s="17"/>
      <c r="AB7" s="16"/>
      <c r="AC7" s="16"/>
      <c r="AD7" s="16"/>
      <c r="AE7" s="17"/>
      <c r="AF7" s="16"/>
      <c r="AG7" s="17"/>
      <c r="AH7" s="16"/>
      <c r="AI7" s="17"/>
      <c r="AJ7" s="16"/>
      <c r="AK7" s="17"/>
      <c r="AL7" s="16"/>
      <c r="AM7" s="17"/>
      <c r="AN7" s="16"/>
      <c r="AO7" s="17"/>
      <c r="AP7" s="16"/>
      <c r="AQ7" s="17"/>
      <c r="AR7" s="16"/>
      <c r="AS7" s="17"/>
      <c r="AT7" s="17"/>
      <c r="AU7" s="17"/>
      <c r="AV7" s="17"/>
      <c r="AW7" s="17"/>
      <c r="AX7" s="16"/>
    </row>
    <row r="8" spans="2:51" ht="10.5" customHeight="1">
      <c r="B8" s="42"/>
      <c r="C8" s="42"/>
      <c r="D8" s="63" t="s">
        <v>333</v>
      </c>
      <c r="E8" s="28"/>
      <c r="F8" s="28"/>
      <c r="G8" s="28"/>
      <c r="H8" s="28"/>
      <c r="I8" s="28"/>
      <c r="J8" s="28"/>
      <c r="K8" s="28"/>
      <c r="L8" s="28"/>
      <c r="M8" s="28"/>
      <c r="N8" s="28"/>
      <c r="O8" s="28"/>
      <c r="P8" s="28"/>
      <c r="Q8" s="28"/>
      <c r="R8" s="28"/>
      <c r="S8" s="28"/>
      <c r="T8" s="28"/>
      <c r="U8" s="28"/>
      <c r="V8" s="28"/>
      <c r="W8" s="75"/>
      <c r="X8" s="28"/>
      <c r="Y8" s="75"/>
      <c r="Z8" s="28"/>
      <c r="AA8" s="75"/>
      <c r="AB8" s="28"/>
      <c r="AC8" s="28"/>
      <c r="AD8" s="28"/>
      <c r="AE8" s="75"/>
      <c r="AF8" s="28"/>
      <c r="AG8" s="75"/>
      <c r="AH8" s="28"/>
      <c r="AI8" s="75"/>
      <c r="AJ8" s="28"/>
      <c r="AK8" s="75"/>
      <c r="AL8" s="28"/>
      <c r="AM8" s="75"/>
      <c r="AN8" s="28"/>
      <c r="AO8" s="75"/>
      <c r="AP8" s="28"/>
      <c r="AQ8" s="75"/>
      <c r="AR8" s="28"/>
      <c r="AS8" s="17"/>
      <c r="AT8" s="17"/>
      <c r="AU8" s="17"/>
      <c r="AV8" s="17"/>
      <c r="AW8" s="17"/>
      <c r="AX8" s="63" t="s">
        <v>334</v>
      </c>
    </row>
    <row r="9" spans="2:51" ht="6.6" customHeight="1">
      <c r="B9" s="42"/>
      <c r="C9" s="42"/>
      <c r="D9" s="16"/>
      <c r="E9" s="28"/>
      <c r="F9" s="28"/>
      <c r="G9" s="28"/>
      <c r="H9" s="28"/>
      <c r="I9" s="28"/>
      <c r="J9" s="28"/>
      <c r="K9" s="28"/>
      <c r="L9" s="28"/>
      <c r="M9" s="28"/>
      <c r="N9" s="28"/>
      <c r="O9" s="28"/>
      <c r="P9" s="28"/>
      <c r="Q9" s="28"/>
      <c r="R9" s="28"/>
      <c r="S9" s="28"/>
      <c r="T9" s="28"/>
      <c r="U9" s="28"/>
      <c r="V9" s="28"/>
      <c r="W9" s="75"/>
      <c r="X9" s="28"/>
      <c r="Y9" s="75"/>
      <c r="Z9" s="28"/>
      <c r="AA9" s="75"/>
      <c r="AB9" s="28"/>
      <c r="AC9" s="28"/>
      <c r="AD9" s="28"/>
      <c r="AE9" s="75"/>
      <c r="AF9" s="28"/>
      <c r="AG9" s="75"/>
      <c r="AH9" s="28"/>
      <c r="AI9" s="75"/>
      <c r="AJ9" s="28"/>
      <c r="AK9" s="75"/>
      <c r="AL9" s="28"/>
      <c r="AM9" s="75"/>
      <c r="AN9" s="28"/>
      <c r="AO9" s="75"/>
      <c r="AP9" s="28"/>
      <c r="AQ9" s="75"/>
      <c r="AR9" s="28"/>
      <c r="AS9" s="17"/>
      <c r="AT9" s="17"/>
      <c r="AU9" s="17"/>
      <c r="AV9" s="17"/>
      <c r="AW9" s="17"/>
      <c r="AX9" s="16"/>
    </row>
    <row r="10" spans="2:51" ht="10.5" customHeight="1">
      <c r="B10" s="42"/>
      <c r="C10" s="42"/>
      <c r="D10" s="63" t="s">
        <v>488</v>
      </c>
      <c r="E10" s="28"/>
      <c r="F10" s="28"/>
      <c r="G10" s="28"/>
      <c r="H10" s="28"/>
      <c r="I10" s="28"/>
      <c r="J10" s="28"/>
      <c r="K10" s="28"/>
      <c r="L10" s="28"/>
      <c r="M10" s="28"/>
      <c r="N10" s="28"/>
      <c r="O10" s="28"/>
      <c r="P10" s="28"/>
      <c r="Q10" s="28"/>
      <c r="R10" s="28"/>
      <c r="S10" s="28"/>
      <c r="T10" s="28"/>
      <c r="U10" s="28"/>
      <c r="V10" s="28"/>
      <c r="W10" s="75"/>
      <c r="X10" s="28"/>
      <c r="Y10" s="75"/>
      <c r="Z10" s="28"/>
      <c r="AA10" s="2"/>
      <c r="AB10" s="28"/>
      <c r="AC10" s="28"/>
      <c r="AD10" s="28"/>
      <c r="AE10" s="2"/>
      <c r="AF10" s="28"/>
      <c r="AG10" s="2"/>
      <c r="AH10" s="28"/>
      <c r="AI10" s="2"/>
      <c r="AJ10" s="28"/>
      <c r="AK10" s="2"/>
      <c r="AL10" s="28"/>
      <c r="AM10" s="2"/>
      <c r="AN10" s="28"/>
      <c r="AO10" s="2"/>
      <c r="AP10" s="28"/>
      <c r="AQ10" s="2"/>
      <c r="AR10" s="28"/>
      <c r="AS10" s="75"/>
      <c r="AT10" s="75"/>
      <c r="AU10" s="75"/>
      <c r="AV10" s="75"/>
      <c r="AW10" s="75"/>
      <c r="AX10" s="63" t="s">
        <v>335</v>
      </c>
    </row>
    <row r="11" spans="2:51" ht="10.5" customHeight="1">
      <c r="B11" s="42">
        <v>1</v>
      </c>
      <c r="C11" s="42"/>
      <c r="D11" s="16" t="s">
        <v>336</v>
      </c>
      <c r="E11" s="28">
        <v>5012</v>
      </c>
      <c r="F11" s="28"/>
      <c r="G11" s="28">
        <v>4468</v>
      </c>
      <c r="H11" s="28"/>
      <c r="I11" s="28">
        <v>4740</v>
      </c>
      <c r="J11" s="28"/>
      <c r="K11" s="28">
        <v>4558</v>
      </c>
      <c r="L11" s="28"/>
      <c r="M11" s="28">
        <v>4154</v>
      </c>
      <c r="N11" s="28"/>
      <c r="O11" s="28">
        <v>4468</v>
      </c>
      <c r="P11" s="28"/>
      <c r="Q11" s="28">
        <v>4469</v>
      </c>
      <c r="R11" s="28"/>
      <c r="S11" s="28">
        <v>4150</v>
      </c>
      <c r="T11" s="28"/>
      <c r="U11" s="28">
        <v>3386</v>
      </c>
      <c r="V11" s="28"/>
      <c r="W11" s="28">
        <v>3381</v>
      </c>
      <c r="X11" s="28"/>
      <c r="Y11" s="28">
        <v>3465</v>
      </c>
      <c r="Z11" s="28"/>
      <c r="AA11" s="17" t="s">
        <v>78</v>
      </c>
      <c r="AB11" s="23"/>
      <c r="AC11" s="17" t="s">
        <v>78</v>
      </c>
      <c r="AD11" s="23"/>
      <c r="AE11" s="17" t="s">
        <v>78</v>
      </c>
      <c r="AF11" s="23"/>
      <c r="AG11" s="17" t="s">
        <v>78</v>
      </c>
      <c r="AH11" s="23"/>
      <c r="AI11" s="17" t="s">
        <v>78</v>
      </c>
      <c r="AJ11" s="23"/>
      <c r="AK11" s="17" t="s">
        <v>78</v>
      </c>
      <c r="AL11" s="23"/>
      <c r="AM11" s="17" t="s">
        <v>78</v>
      </c>
      <c r="AN11" s="23"/>
      <c r="AO11" s="17" t="s">
        <v>78</v>
      </c>
      <c r="AP11" s="23"/>
      <c r="AQ11" s="17" t="s">
        <v>78</v>
      </c>
      <c r="AR11" s="23"/>
      <c r="AS11" s="17" t="s">
        <v>78</v>
      </c>
      <c r="AT11" s="75"/>
      <c r="AU11" s="17" t="s">
        <v>78</v>
      </c>
      <c r="AV11" s="75"/>
      <c r="AW11" s="75"/>
      <c r="AX11" s="16" t="s">
        <v>337</v>
      </c>
    </row>
    <row r="12" spans="2:51" ht="10.5" customHeight="1">
      <c r="B12" s="42">
        <v>2</v>
      </c>
      <c r="C12" s="42"/>
      <c r="D12" s="16" t="s">
        <v>338</v>
      </c>
      <c r="E12" s="28">
        <v>464</v>
      </c>
      <c r="F12" s="28"/>
      <c r="G12" s="28">
        <v>462</v>
      </c>
      <c r="H12" s="28"/>
      <c r="I12" s="28">
        <v>457</v>
      </c>
      <c r="J12" s="28"/>
      <c r="K12" s="28">
        <v>434</v>
      </c>
      <c r="L12" s="28"/>
      <c r="M12" s="28">
        <v>417</v>
      </c>
      <c r="N12" s="28"/>
      <c r="O12" s="28">
        <v>429</v>
      </c>
      <c r="P12" s="28"/>
      <c r="Q12" s="28">
        <v>428</v>
      </c>
      <c r="R12" s="28"/>
      <c r="S12" s="28">
        <v>431</v>
      </c>
      <c r="T12" s="28"/>
      <c r="U12" s="28">
        <v>423</v>
      </c>
      <c r="V12" s="28"/>
      <c r="W12" s="28">
        <v>405</v>
      </c>
      <c r="X12" s="28"/>
      <c r="Y12" s="28">
        <v>358</v>
      </c>
      <c r="Z12" s="28"/>
      <c r="AA12" s="17" t="s">
        <v>78</v>
      </c>
      <c r="AB12" s="23"/>
      <c r="AC12" s="17" t="s">
        <v>78</v>
      </c>
      <c r="AD12" s="23"/>
      <c r="AE12" s="17" t="s">
        <v>78</v>
      </c>
      <c r="AF12" s="23"/>
      <c r="AG12" s="17" t="s">
        <v>78</v>
      </c>
      <c r="AH12" s="23"/>
      <c r="AI12" s="17" t="s">
        <v>78</v>
      </c>
      <c r="AJ12" s="23"/>
      <c r="AK12" s="17" t="s">
        <v>78</v>
      </c>
      <c r="AL12" s="23"/>
      <c r="AM12" s="17" t="s">
        <v>78</v>
      </c>
      <c r="AN12" s="23"/>
      <c r="AO12" s="17" t="s">
        <v>78</v>
      </c>
      <c r="AP12" s="23"/>
      <c r="AQ12" s="17" t="s">
        <v>78</v>
      </c>
      <c r="AR12" s="23"/>
      <c r="AS12" s="17" t="s">
        <v>78</v>
      </c>
      <c r="AT12" s="75"/>
      <c r="AU12" s="17" t="s">
        <v>78</v>
      </c>
      <c r="AV12" s="75"/>
      <c r="AW12" s="75"/>
      <c r="AX12" s="16" t="s">
        <v>339</v>
      </c>
    </row>
    <row r="13" spans="2:51" ht="10.5" customHeight="1">
      <c r="B13" s="42">
        <v>3</v>
      </c>
      <c r="C13" s="42"/>
      <c r="D13" s="16" t="s">
        <v>340</v>
      </c>
      <c r="E13" s="28">
        <v>10795</v>
      </c>
      <c r="F13" s="137"/>
      <c r="G13" s="28">
        <v>10737</v>
      </c>
      <c r="H13" s="137"/>
      <c r="I13" s="28">
        <v>10368</v>
      </c>
      <c r="J13" s="137"/>
      <c r="K13" s="28">
        <v>9870</v>
      </c>
      <c r="L13" s="137"/>
      <c r="M13" s="28">
        <v>10363</v>
      </c>
      <c r="N13" s="137"/>
      <c r="O13" s="28">
        <v>9659</v>
      </c>
      <c r="P13" s="137"/>
      <c r="Q13" s="28">
        <v>9390</v>
      </c>
      <c r="R13" s="137"/>
      <c r="S13" s="28">
        <v>9378</v>
      </c>
      <c r="T13" s="137"/>
      <c r="U13" s="28">
        <v>9915</v>
      </c>
      <c r="V13" s="137"/>
      <c r="W13" s="28">
        <v>8993</v>
      </c>
      <c r="X13" s="137"/>
      <c r="Y13" s="28">
        <v>9357</v>
      </c>
      <c r="Z13" s="28"/>
      <c r="AA13" s="17" t="s">
        <v>78</v>
      </c>
      <c r="AB13" s="23"/>
      <c r="AC13" s="17" t="s">
        <v>78</v>
      </c>
      <c r="AD13" s="23"/>
      <c r="AE13" s="17" t="s">
        <v>78</v>
      </c>
      <c r="AF13" s="23"/>
      <c r="AG13" s="17" t="s">
        <v>78</v>
      </c>
      <c r="AH13" s="23"/>
      <c r="AI13" s="17" t="s">
        <v>78</v>
      </c>
      <c r="AJ13" s="23"/>
      <c r="AK13" s="17" t="s">
        <v>78</v>
      </c>
      <c r="AL13" s="23"/>
      <c r="AM13" s="17" t="s">
        <v>78</v>
      </c>
      <c r="AN13" s="23"/>
      <c r="AO13" s="17" t="s">
        <v>78</v>
      </c>
      <c r="AP13" s="23"/>
      <c r="AQ13" s="17" t="s">
        <v>78</v>
      </c>
      <c r="AR13" s="23"/>
      <c r="AS13" s="17" t="s">
        <v>78</v>
      </c>
      <c r="AT13" s="17"/>
      <c r="AU13" s="17" t="s">
        <v>78</v>
      </c>
      <c r="AV13" s="17"/>
      <c r="AW13" s="17"/>
      <c r="AX13" s="16" t="s">
        <v>341</v>
      </c>
    </row>
    <row r="14" spans="2:51" ht="10.5" customHeight="1">
      <c r="B14" s="42">
        <v>4</v>
      </c>
      <c r="C14" s="42"/>
      <c r="D14" s="16" t="s">
        <v>342</v>
      </c>
      <c r="E14" s="28">
        <v>81</v>
      </c>
      <c r="F14" s="28"/>
      <c r="G14" s="28">
        <v>115</v>
      </c>
      <c r="H14" s="28"/>
      <c r="I14" s="28">
        <v>113</v>
      </c>
      <c r="J14" s="28"/>
      <c r="K14" s="28">
        <v>113</v>
      </c>
      <c r="L14" s="28"/>
      <c r="M14" s="28">
        <v>109</v>
      </c>
      <c r="N14" s="28"/>
      <c r="O14" s="28">
        <v>108</v>
      </c>
      <c r="P14" s="28"/>
      <c r="Q14" s="28">
        <v>108</v>
      </c>
      <c r="R14" s="28"/>
      <c r="S14" s="28">
        <v>108</v>
      </c>
      <c r="T14" s="28"/>
      <c r="U14" s="28">
        <v>134</v>
      </c>
      <c r="V14" s="28"/>
      <c r="W14" s="28">
        <v>124</v>
      </c>
      <c r="X14" s="28"/>
      <c r="Y14" s="28">
        <v>117</v>
      </c>
      <c r="Z14" s="28"/>
      <c r="AA14" s="17" t="s">
        <v>78</v>
      </c>
      <c r="AB14" s="23"/>
      <c r="AC14" s="17" t="s">
        <v>78</v>
      </c>
      <c r="AD14" s="23"/>
      <c r="AE14" s="17" t="s">
        <v>78</v>
      </c>
      <c r="AF14" s="23"/>
      <c r="AG14" s="17" t="s">
        <v>78</v>
      </c>
      <c r="AH14" s="23"/>
      <c r="AI14" s="17" t="s">
        <v>78</v>
      </c>
      <c r="AJ14" s="23"/>
      <c r="AK14" s="17" t="s">
        <v>78</v>
      </c>
      <c r="AL14" s="23"/>
      <c r="AM14" s="17" t="s">
        <v>78</v>
      </c>
      <c r="AN14" s="23"/>
      <c r="AO14" s="17" t="s">
        <v>78</v>
      </c>
      <c r="AP14" s="23"/>
      <c r="AQ14" s="17" t="s">
        <v>78</v>
      </c>
      <c r="AR14" s="23"/>
      <c r="AS14" s="17" t="s">
        <v>78</v>
      </c>
      <c r="AT14" s="75"/>
      <c r="AU14" s="17" t="s">
        <v>78</v>
      </c>
      <c r="AV14" s="75"/>
      <c r="AW14" s="75"/>
      <c r="AX14" s="16" t="s">
        <v>343</v>
      </c>
    </row>
    <row r="15" spans="2:51" ht="10.5" customHeight="1">
      <c r="B15" s="42">
        <v>5</v>
      </c>
      <c r="C15" s="42"/>
      <c r="D15" s="16" t="s">
        <v>344</v>
      </c>
      <c r="E15" s="28">
        <v>2054</v>
      </c>
      <c r="F15" s="28"/>
      <c r="G15" s="28">
        <v>2128</v>
      </c>
      <c r="H15" s="28"/>
      <c r="I15" s="28">
        <v>1996</v>
      </c>
      <c r="J15" s="28"/>
      <c r="K15" s="28">
        <v>1934</v>
      </c>
      <c r="L15" s="28"/>
      <c r="M15" s="28">
        <v>1789</v>
      </c>
      <c r="N15" s="28"/>
      <c r="O15" s="28">
        <v>1973</v>
      </c>
      <c r="P15" s="28"/>
      <c r="Q15" s="28">
        <v>2012</v>
      </c>
      <c r="R15" s="28"/>
      <c r="S15" s="28">
        <v>1829</v>
      </c>
      <c r="T15" s="28"/>
      <c r="U15" s="28">
        <v>1877</v>
      </c>
      <c r="V15" s="28"/>
      <c r="W15" s="28">
        <v>1894</v>
      </c>
      <c r="X15" s="28"/>
      <c r="Y15" s="28">
        <v>1869</v>
      </c>
      <c r="Z15" s="28"/>
      <c r="AA15" s="17" t="s">
        <v>78</v>
      </c>
      <c r="AB15" s="23"/>
      <c r="AC15" s="17" t="s">
        <v>78</v>
      </c>
      <c r="AD15" s="23"/>
      <c r="AE15" s="17" t="s">
        <v>78</v>
      </c>
      <c r="AF15" s="23"/>
      <c r="AG15" s="17" t="s">
        <v>78</v>
      </c>
      <c r="AH15" s="23"/>
      <c r="AI15" s="17" t="s">
        <v>78</v>
      </c>
      <c r="AJ15" s="23"/>
      <c r="AK15" s="17" t="s">
        <v>78</v>
      </c>
      <c r="AL15" s="23"/>
      <c r="AM15" s="17" t="s">
        <v>78</v>
      </c>
      <c r="AN15" s="23"/>
      <c r="AO15" s="17" t="s">
        <v>78</v>
      </c>
      <c r="AP15" s="23"/>
      <c r="AQ15" s="17" t="s">
        <v>78</v>
      </c>
      <c r="AR15" s="23"/>
      <c r="AS15" s="17" t="s">
        <v>78</v>
      </c>
      <c r="AT15" s="17"/>
      <c r="AU15" s="17" t="s">
        <v>78</v>
      </c>
      <c r="AV15" s="17"/>
      <c r="AW15" s="17"/>
      <c r="AX15" s="16" t="s">
        <v>345</v>
      </c>
    </row>
    <row r="16" spans="2:51" ht="10.5" customHeight="1">
      <c r="B16" s="42">
        <v>6</v>
      </c>
      <c r="C16" s="42"/>
      <c r="D16" s="18" t="s">
        <v>68</v>
      </c>
      <c r="E16" s="65">
        <v>18406</v>
      </c>
      <c r="F16" s="65"/>
      <c r="G16" s="65">
        <v>17910</v>
      </c>
      <c r="H16" s="65"/>
      <c r="I16" s="65">
        <v>17674</v>
      </c>
      <c r="J16" s="65"/>
      <c r="K16" s="65">
        <v>16909</v>
      </c>
      <c r="L16" s="65"/>
      <c r="M16" s="65">
        <v>16832</v>
      </c>
      <c r="N16" s="65"/>
      <c r="O16" s="65">
        <v>16637</v>
      </c>
      <c r="P16" s="65"/>
      <c r="Q16" s="65">
        <v>16407</v>
      </c>
      <c r="R16" s="65"/>
      <c r="S16" s="65">
        <v>15896</v>
      </c>
      <c r="T16" s="65"/>
      <c r="U16" s="65">
        <v>15735</v>
      </c>
      <c r="V16" s="65"/>
      <c r="W16" s="65">
        <v>14797</v>
      </c>
      <c r="X16" s="65"/>
      <c r="Y16" s="65">
        <v>15166</v>
      </c>
      <c r="Z16" s="65"/>
      <c r="AA16" s="133" t="s">
        <v>78</v>
      </c>
      <c r="AB16" s="23"/>
      <c r="AC16" s="133" t="s">
        <v>78</v>
      </c>
      <c r="AD16" s="23"/>
      <c r="AE16" s="133" t="s">
        <v>78</v>
      </c>
      <c r="AF16" s="23"/>
      <c r="AG16" s="133" t="s">
        <v>78</v>
      </c>
      <c r="AH16" s="23"/>
      <c r="AI16" s="133" t="s">
        <v>78</v>
      </c>
      <c r="AJ16" s="23"/>
      <c r="AK16" s="133" t="s">
        <v>78</v>
      </c>
      <c r="AL16" s="23"/>
      <c r="AM16" s="133" t="s">
        <v>78</v>
      </c>
      <c r="AN16" s="23"/>
      <c r="AO16" s="133" t="s">
        <v>78</v>
      </c>
      <c r="AP16" s="23"/>
      <c r="AQ16" s="133" t="s">
        <v>78</v>
      </c>
      <c r="AR16" s="23"/>
      <c r="AS16" s="133" t="s">
        <v>78</v>
      </c>
      <c r="AT16" s="17"/>
      <c r="AU16" s="133" t="s">
        <v>78</v>
      </c>
      <c r="AV16" s="17"/>
      <c r="AW16" s="17"/>
      <c r="AX16" s="18" t="s">
        <v>84</v>
      </c>
      <c r="AY16" s="82"/>
    </row>
    <row r="17" spans="2:50" ht="6.6" customHeight="1">
      <c r="B17" s="42"/>
      <c r="C17" s="42"/>
      <c r="D17" s="16"/>
      <c r="E17" s="28"/>
      <c r="F17" s="28"/>
      <c r="G17" s="28"/>
      <c r="H17" s="28"/>
      <c r="I17" s="28"/>
      <c r="J17" s="28"/>
      <c r="K17" s="28"/>
      <c r="L17" s="28"/>
      <c r="M17" s="28"/>
      <c r="N17" s="28"/>
      <c r="O17" s="28"/>
      <c r="P17" s="28"/>
      <c r="Q17" s="28"/>
      <c r="R17" s="28"/>
      <c r="S17" s="28"/>
      <c r="T17" s="28"/>
      <c r="U17" s="28"/>
      <c r="V17" s="28"/>
      <c r="W17" s="28"/>
      <c r="X17" s="28"/>
      <c r="Y17" s="28"/>
      <c r="Z17" s="28"/>
      <c r="AA17" s="28"/>
      <c r="AB17" s="23"/>
      <c r="AC17" s="28"/>
      <c r="AD17" s="23"/>
      <c r="AE17" s="28"/>
      <c r="AF17" s="23"/>
      <c r="AG17" s="28"/>
      <c r="AH17" s="23"/>
      <c r="AI17" s="28"/>
      <c r="AJ17" s="23"/>
      <c r="AK17" s="28"/>
      <c r="AL17" s="23"/>
      <c r="AM17" s="28"/>
      <c r="AN17" s="23"/>
      <c r="AO17" s="28"/>
      <c r="AP17" s="23"/>
      <c r="AQ17" s="28"/>
      <c r="AR17" s="23"/>
      <c r="AS17" s="28"/>
      <c r="AT17" s="17"/>
      <c r="AU17" s="28"/>
      <c r="AV17" s="17"/>
      <c r="AW17" s="17"/>
      <c r="AX17" s="16"/>
    </row>
    <row r="18" spans="2:50" ht="10.5" customHeight="1">
      <c r="B18" s="42"/>
      <c r="C18" s="42"/>
      <c r="D18" s="63" t="s">
        <v>346</v>
      </c>
      <c r="E18" s="28"/>
      <c r="F18" s="28"/>
      <c r="G18" s="28"/>
      <c r="H18" s="28"/>
      <c r="I18" s="28"/>
      <c r="J18" s="28"/>
      <c r="K18" s="28"/>
      <c r="L18" s="28"/>
      <c r="M18" s="28"/>
      <c r="N18" s="28"/>
      <c r="O18" s="28"/>
      <c r="P18" s="28"/>
      <c r="Q18" s="28"/>
      <c r="R18" s="28"/>
      <c r="S18" s="28"/>
      <c r="T18" s="28"/>
      <c r="U18" s="28"/>
      <c r="V18" s="28"/>
      <c r="W18" s="28"/>
      <c r="X18" s="28"/>
      <c r="Y18" s="28"/>
      <c r="Z18" s="28"/>
      <c r="AA18" s="28"/>
      <c r="AB18" s="23"/>
      <c r="AC18" s="28"/>
      <c r="AD18" s="23"/>
      <c r="AE18" s="28"/>
      <c r="AF18" s="23"/>
      <c r="AG18" s="28"/>
      <c r="AH18" s="23"/>
      <c r="AI18" s="28"/>
      <c r="AJ18" s="23"/>
      <c r="AK18" s="28"/>
      <c r="AL18" s="23"/>
      <c r="AM18" s="28"/>
      <c r="AN18" s="23"/>
      <c r="AO18" s="28"/>
      <c r="AP18" s="23"/>
      <c r="AQ18" s="28"/>
      <c r="AR18" s="23"/>
      <c r="AS18" s="28"/>
      <c r="AT18" s="17"/>
      <c r="AU18" s="28"/>
      <c r="AV18" s="17"/>
      <c r="AW18" s="17"/>
      <c r="AX18" s="63" t="s">
        <v>347</v>
      </c>
    </row>
    <row r="19" spans="2:50" ht="10.5" customHeight="1">
      <c r="B19" s="42">
        <v>7</v>
      </c>
      <c r="C19" s="42"/>
      <c r="D19" s="16" t="s">
        <v>336</v>
      </c>
      <c r="E19" s="28">
        <v>168772</v>
      </c>
      <c r="F19" s="28"/>
      <c r="G19" s="28">
        <v>160546</v>
      </c>
      <c r="H19" s="28"/>
      <c r="I19" s="28">
        <v>181663</v>
      </c>
      <c r="J19" s="28"/>
      <c r="K19" s="28">
        <v>175966</v>
      </c>
      <c r="L19" s="28"/>
      <c r="M19" s="28">
        <v>164666</v>
      </c>
      <c r="N19" s="28"/>
      <c r="O19" s="28">
        <v>193993</v>
      </c>
      <c r="P19" s="28"/>
      <c r="Q19" s="28">
        <v>190985.81932021468</v>
      </c>
      <c r="R19" s="28"/>
      <c r="S19" s="28">
        <v>191802</v>
      </c>
      <c r="T19" s="28"/>
      <c r="U19" s="28">
        <v>149640</v>
      </c>
      <c r="V19" s="28"/>
      <c r="W19" s="28">
        <v>153911</v>
      </c>
      <c r="X19" s="28"/>
      <c r="Y19" s="28">
        <v>153806</v>
      </c>
      <c r="Z19" s="28"/>
      <c r="AA19" s="17" t="s">
        <v>78</v>
      </c>
      <c r="AB19" s="23"/>
      <c r="AC19" s="17" t="s">
        <v>78</v>
      </c>
      <c r="AD19" s="23"/>
      <c r="AE19" s="17" t="s">
        <v>78</v>
      </c>
      <c r="AF19" s="23"/>
      <c r="AG19" s="17" t="s">
        <v>78</v>
      </c>
      <c r="AH19" s="23"/>
      <c r="AI19" s="17" t="s">
        <v>78</v>
      </c>
      <c r="AJ19" s="23"/>
      <c r="AK19" s="17" t="s">
        <v>78</v>
      </c>
      <c r="AL19" s="23"/>
      <c r="AM19" s="17" t="s">
        <v>78</v>
      </c>
      <c r="AN19" s="23"/>
      <c r="AO19" s="17" t="s">
        <v>78</v>
      </c>
      <c r="AP19" s="23"/>
      <c r="AQ19" s="17" t="s">
        <v>78</v>
      </c>
      <c r="AR19" s="23"/>
      <c r="AS19" s="17" t="s">
        <v>78</v>
      </c>
      <c r="AT19" s="17"/>
      <c r="AU19" s="17" t="s">
        <v>78</v>
      </c>
      <c r="AV19" s="17"/>
      <c r="AW19" s="17"/>
      <c r="AX19" s="16" t="s">
        <v>337</v>
      </c>
    </row>
    <row r="20" spans="2:50" ht="10.5" customHeight="1">
      <c r="B20" s="42">
        <v>8</v>
      </c>
      <c r="C20" s="42"/>
      <c r="D20" s="16" t="s">
        <v>338</v>
      </c>
      <c r="E20" s="28">
        <v>18263</v>
      </c>
      <c r="F20" s="28"/>
      <c r="G20" s="28">
        <v>16897</v>
      </c>
      <c r="H20" s="28"/>
      <c r="I20" s="28">
        <v>16711</v>
      </c>
      <c r="J20" s="28"/>
      <c r="K20" s="28">
        <v>15883</v>
      </c>
      <c r="L20" s="28"/>
      <c r="M20" s="28">
        <v>16758</v>
      </c>
      <c r="N20" s="28"/>
      <c r="O20" s="28">
        <v>17098</v>
      </c>
      <c r="P20" s="28"/>
      <c r="Q20" s="28">
        <v>17032</v>
      </c>
      <c r="R20" s="28"/>
      <c r="S20" s="28">
        <v>17460</v>
      </c>
      <c r="T20" s="28"/>
      <c r="U20" s="28">
        <v>17228</v>
      </c>
      <c r="V20" s="28"/>
      <c r="W20" s="28">
        <v>17353</v>
      </c>
      <c r="X20" s="28"/>
      <c r="Y20" s="28">
        <v>15448</v>
      </c>
      <c r="Z20" s="28"/>
      <c r="AA20" s="17" t="s">
        <v>78</v>
      </c>
      <c r="AB20" s="23"/>
      <c r="AC20" s="17" t="s">
        <v>78</v>
      </c>
      <c r="AD20" s="23"/>
      <c r="AE20" s="17" t="s">
        <v>78</v>
      </c>
      <c r="AF20" s="23"/>
      <c r="AG20" s="17" t="s">
        <v>78</v>
      </c>
      <c r="AH20" s="23"/>
      <c r="AI20" s="17" t="s">
        <v>78</v>
      </c>
      <c r="AJ20" s="23"/>
      <c r="AK20" s="17" t="s">
        <v>78</v>
      </c>
      <c r="AL20" s="23"/>
      <c r="AM20" s="17" t="s">
        <v>78</v>
      </c>
      <c r="AN20" s="23"/>
      <c r="AO20" s="17" t="s">
        <v>78</v>
      </c>
      <c r="AP20" s="23"/>
      <c r="AQ20" s="17" t="s">
        <v>78</v>
      </c>
      <c r="AR20" s="23"/>
      <c r="AS20" s="17" t="s">
        <v>78</v>
      </c>
      <c r="AT20" s="17"/>
      <c r="AU20" s="17" t="s">
        <v>78</v>
      </c>
      <c r="AV20" s="17"/>
      <c r="AW20" s="17"/>
      <c r="AX20" s="16" t="s">
        <v>339</v>
      </c>
    </row>
    <row r="21" spans="2:50" ht="10.5" customHeight="1">
      <c r="B21" s="42">
        <v>9</v>
      </c>
      <c r="C21" s="42"/>
      <c r="D21" s="16" t="s">
        <v>340</v>
      </c>
      <c r="E21" s="28">
        <v>434463.74074074073</v>
      </c>
      <c r="F21" s="28"/>
      <c r="G21" s="28">
        <v>430033.85185185185</v>
      </c>
      <c r="H21" s="28"/>
      <c r="I21" s="28">
        <v>412495</v>
      </c>
      <c r="J21" s="28"/>
      <c r="K21" s="28">
        <v>407584</v>
      </c>
      <c r="L21" s="28"/>
      <c r="M21" s="28">
        <v>504327</v>
      </c>
      <c r="N21" s="28"/>
      <c r="O21" s="28">
        <v>439655</v>
      </c>
      <c r="P21" s="28"/>
      <c r="Q21" s="28">
        <v>465628</v>
      </c>
      <c r="R21" s="28"/>
      <c r="S21" s="28">
        <v>479559</v>
      </c>
      <c r="T21" s="28"/>
      <c r="U21" s="28">
        <v>528361</v>
      </c>
      <c r="V21" s="28"/>
      <c r="W21" s="28">
        <v>479782</v>
      </c>
      <c r="X21" s="28"/>
      <c r="Y21" s="28">
        <v>524342</v>
      </c>
      <c r="Z21" s="28"/>
      <c r="AA21" s="17" t="s">
        <v>78</v>
      </c>
      <c r="AB21" s="23"/>
      <c r="AC21" s="17" t="s">
        <v>78</v>
      </c>
      <c r="AD21" s="23"/>
      <c r="AE21" s="17" t="s">
        <v>78</v>
      </c>
      <c r="AF21" s="23"/>
      <c r="AG21" s="17" t="s">
        <v>78</v>
      </c>
      <c r="AH21" s="23"/>
      <c r="AI21" s="17" t="s">
        <v>78</v>
      </c>
      <c r="AJ21" s="23"/>
      <c r="AK21" s="17" t="s">
        <v>78</v>
      </c>
      <c r="AL21" s="23"/>
      <c r="AM21" s="17" t="s">
        <v>78</v>
      </c>
      <c r="AN21" s="23"/>
      <c r="AO21" s="17" t="s">
        <v>78</v>
      </c>
      <c r="AP21" s="23"/>
      <c r="AQ21" s="17" t="s">
        <v>78</v>
      </c>
      <c r="AR21" s="23"/>
      <c r="AS21" s="17" t="s">
        <v>78</v>
      </c>
      <c r="AT21" s="17"/>
      <c r="AU21" s="17" t="s">
        <v>78</v>
      </c>
      <c r="AV21" s="17"/>
      <c r="AW21" s="17"/>
      <c r="AX21" s="16" t="s">
        <v>341</v>
      </c>
    </row>
    <row r="22" spans="2:50" ht="10.5" customHeight="1">
      <c r="B22" s="42">
        <v>10</v>
      </c>
      <c r="C22" s="42"/>
      <c r="D22" s="16" t="s">
        <v>342</v>
      </c>
      <c r="E22" s="28">
        <v>848</v>
      </c>
      <c r="F22" s="28"/>
      <c r="G22" s="28">
        <v>2875</v>
      </c>
      <c r="H22" s="28"/>
      <c r="I22" s="28">
        <v>2825</v>
      </c>
      <c r="J22" s="28"/>
      <c r="K22" s="28">
        <v>2825</v>
      </c>
      <c r="L22" s="28"/>
      <c r="M22" s="28">
        <v>1990</v>
      </c>
      <c r="N22" s="28"/>
      <c r="O22" s="28">
        <v>2056</v>
      </c>
      <c r="P22" s="28"/>
      <c r="Q22" s="28">
        <v>2056</v>
      </c>
      <c r="R22" s="28"/>
      <c r="S22" s="28">
        <v>2056</v>
      </c>
      <c r="T22" s="28"/>
      <c r="U22" s="28">
        <v>2736</v>
      </c>
      <c r="V22" s="28"/>
      <c r="W22" s="28">
        <v>2636</v>
      </c>
      <c r="X22" s="28"/>
      <c r="Y22" s="28">
        <v>2480</v>
      </c>
      <c r="Z22" s="28"/>
      <c r="AA22" s="17" t="s">
        <v>78</v>
      </c>
      <c r="AB22" s="23"/>
      <c r="AC22" s="17" t="s">
        <v>78</v>
      </c>
      <c r="AD22" s="23"/>
      <c r="AE22" s="17" t="s">
        <v>78</v>
      </c>
      <c r="AF22" s="23"/>
      <c r="AG22" s="17" t="s">
        <v>78</v>
      </c>
      <c r="AH22" s="23"/>
      <c r="AI22" s="17" t="s">
        <v>78</v>
      </c>
      <c r="AJ22" s="23"/>
      <c r="AK22" s="17" t="s">
        <v>78</v>
      </c>
      <c r="AL22" s="23"/>
      <c r="AM22" s="17" t="s">
        <v>78</v>
      </c>
      <c r="AN22" s="23"/>
      <c r="AO22" s="17" t="s">
        <v>78</v>
      </c>
      <c r="AP22" s="23"/>
      <c r="AQ22" s="17" t="s">
        <v>78</v>
      </c>
      <c r="AR22" s="23"/>
      <c r="AS22" s="17" t="s">
        <v>78</v>
      </c>
      <c r="AT22" s="17"/>
      <c r="AU22" s="17" t="s">
        <v>78</v>
      </c>
      <c r="AV22" s="17"/>
      <c r="AW22" s="17"/>
      <c r="AX22" s="16" t="s">
        <v>343</v>
      </c>
    </row>
    <row r="23" spans="2:50" ht="10.5" customHeight="1">
      <c r="B23" s="42">
        <v>11</v>
      </c>
      <c r="C23" s="42"/>
      <c r="D23" s="16" t="s">
        <v>344</v>
      </c>
      <c r="E23" s="28">
        <v>118377</v>
      </c>
      <c r="F23" s="28"/>
      <c r="G23" s="28">
        <v>129450</v>
      </c>
      <c r="H23" s="28"/>
      <c r="I23" s="28">
        <v>120602</v>
      </c>
      <c r="J23" s="28"/>
      <c r="K23" s="28">
        <v>117577</v>
      </c>
      <c r="L23" s="28"/>
      <c r="M23" s="28">
        <v>111375</v>
      </c>
      <c r="N23" s="28"/>
      <c r="O23" s="28">
        <v>119393</v>
      </c>
      <c r="P23" s="28"/>
      <c r="Q23" s="28">
        <v>122290</v>
      </c>
      <c r="R23" s="28"/>
      <c r="S23" s="28">
        <v>124431</v>
      </c>
      <c r="T23" s="28"/>
      <c r="U23" s="28">
        <v>134392</v>
      </c>
      <c r="V23" s="28"/>
      <c r="W23" s="28">
        <v>137747</v>
      </c>
      <c r="X23" s="28"/>
      <c r="Y23" s="28">
        <v>140488</v>
      </c>
      <c r="Z23" s="28"/>
      <c r="AA23" s="17" t="s">
        <v>78</v>
      </c>
      <c r="AB23" s="23"/>
      <c r="AC23" s="17" t="s">
        <v>78</v>
      </c>
      <c r="AD23" s="23"/>
      <c r="AE23" s="17" t="s">
        <v>78</v>
      </c>
      <c r="AF23" s="23"/>
      <c r="AG23" s="17" t="s">
        <v>78</v>
      </c>
      <c r="AH23" s="23"/>
      <c r="AI23" s="17" t="s">
        <v>78</v>
      </c>
      <c r="AJ23" s="23"/>
      <c r="AK23" s="17" t="s">
        <v>78</v>
      </c>
      <c r="AL23" s="23"/>
      <c r="AM23" s="17" t="s">
        <v>78</v>
      </c>
      <c r="AN23" s="23"/>
      <c r="AO23" s="17" t="s">
        <v>78</v>
      </c>
      <c r="AP23" s="23"/>
      <c r="AQ23" s="17" t="s">
        <v>78</v>
      </c>
      <c r="AR23" s="23"/>
      <c r="AS23" s="17" t="s">
        <v>78</v>
      </c>
      <c r="AT23" s="17"/>
      <c r="AU23" s="17" t="s">
        <v>78</v>
      </c>
      <c r="AV23" s="17"/>
      <c r="AW23" s="17"/>
      <c r="AX23" s="16" t="s">
        <v>345</v>
      </c>
    </row>
    <row r="24" spans="2:50" ht="10.5" customHeight="1">
      <c r="B24" s="42">
        <v>12</v>
      </c>
      <c r="C24" s="42"/>
      <c r="D24" s="18" t="s">
        <v>68</v>
      </c>
      <c r="E24" s="65">
        <v>740723.74074074079</v>
      </c>
      <c r="F24" s="65"/>
      <c r="G24" s="65">
        <v>739801.8518518518</v>
      </c>
      <c r="H24" s="65"/>
      <c r="I24" s="65">
        <v>734296</v>
      </c>
      <c r="J24" s="65"/>
      <c r="K24" s="65">
        <v>719835</v>
      </c>
      <c r="L24" s="65"/>
      <c r="M24" s="65">
        <v>799116</v>
      </c>
      <c r="N24" s="65"/>
      <c r="O24" s="65">
        <v>772195</v>
      </c>
      <c r="P24" s="65"/>
      <c r="Q24" s="65">
        <v>797991.81932021468</v>
      </c>
      <c r="R24" s="65"/>
      <c r="S24" s="65">
        <v>815308</v>
      </c>
      <c r="T24" s="65"/>
      <c r="U24" s="65">
        <v>832357</v>
      </c>
      <c r="V24" s="65"/>
      <c r="W24" s="65">
        <v>791429</v>
      </c>
      <c r="X24" s="65"/>
      <c r="Y24" s="65">
        <v>836564</v>
      </c>
      <c r="Z24" s="65"/>
      <c r="AA24" s="133" t="s">
        <v>78</v>
      </c>
      <c r="AB24" s="23"/>
      <c r="AC24" s="133" t="s">
        <v>78</v>
      </c>
      <c r="AD24" s="23"/>
      <c r="AE24" s="133" t="s">
        <v>78</v>
      </c>
      <c r="AF24" s="23"/>
      <c r="AG24" s="133" t="s">
        <v>78</v>
      </c>
      <c r="AH24" s="23"/>
      <c r="AI24" s="133" t="s">
        <v>78</v>
      </c>
      <c r="AJ24" s="23"/>
      <c r="AK24" s="133" t="s">
        <v>78</v>
      </c>
      <c r="AL24" s="23"/>
      <c r="AM24" s="133" t="s">
        <v>78</v>
      </c>
      <c r="AN24" s="23"/>
      <c r="AO24" s="133" t="s">
        <v>78</v>
      </c>
      <c r="AP24" s="23"/>
      <c r="AQ24" s="133" t="s">
        <v>78</v>
      </c>
      <c r="AR24" s="23"/>
      <c r="AS24" s="133" t="s">
        <v>78</v>
      </c>
      <c r="AT24" s="17"/>
      <c r="AU24" s="133" t="s">
        <v>78</v>
      </c>
      <c r="AV24" s="17"/>
      <c r="AW24" s="17"/>
      <c r="AX24" s="18" t="s">
        <v>84</v>
      </c>
    </row>
    <row r="25" spans="2:50" ht="6" customHeight="1">
      <c r="B25" s="34"/>
      <c r="C25" s="34"/>
      <c r="D25" s="56"/>
      <c r="E25" s="83"/>
      <c r="F25" s="83"/>
      <c r="G25" s="83"/>
      <c r="H25" s="83"/>
      <c r="I25" s="83"/>
      <c r="J25" s="83"/>
      <c r="K25" s="83"/>
      <c r="L25" s="83"/>
      <c r="M25" s="83"/>
      <c r="N25" s="83"/>
      <c r="O25" s="83"/>
      <c r="P25" s="83"/>
      <c r="Q25" s="83"/>
      <c r="R25" s="83"/>
      <c r="S25" s="83"/>
      <c r="T25" s="83"/>
      <c r="U25" s="83"/>
      <c r="V25" s="83"/>
      <c r="W25" s="83"/>
      <c r="X25" s="83"/>
      <c r="Y25" s="83"/>
      <c r="Z25" s="83"/>
      <c r="AA25" s="83"/>
      <c r="AB25" s="70"/>
      <c r="AC25" s="70"/>
      <c r="AD25" s="70"/>
      <c r="AE25" s="83"/>
      <c r="AF25" s="70"/>
      <c r="AG25" s="83"/>
      <c r="AH25" s="70"/>
      <c r="AI25" s="83"/>
      <c r="AJ25" s="70"/>
      <c r="AK25" s="83"/>
      <c r="AL25" s="70"/>
      <c r="AM25" s="83"/>
      <c r="AN25" s="70"/>
      <c r="AO25" s="83"/>
      <c r="AP25" s="70"/>
      <c r="AQ25" s="83"/>
      <c r="AR25" s="70"/>
      <c r="AS25" s="41"/>
      <c r="AT25" s="41"/>
      <c r="AU25" s="41"/>
      <c r="AV25" s="41"/>
      <c r="AW25" s="41"/>
      <c r="AX25" s="56"/>
    </row>
    <row r="26" spans="2:50" ht="6" customHeight="1">
      <c r="B26" s="42"/>
      <c r="C26" s="42"/>
      <c r="D26" s="16"/>
      <c r="E26" s="28"/>
      <c r="F26" s="28"/>
      <c r="G26" s="28"/>
      <c r="H26" s="28"/>
      <c r="I26" s="28"/>
      <c r="J26" s="28"/>
      <c r="K26" s="28"/>
      <c r="L26" s="28"/>
      <c r="M26" s="28"/>
      <c r="N26" s="28"/>
      <c r="O26" s="28"/>
      <c r="P26" s="28"/>
      <c r="Q26" s="28"/>
      <c r="R26" s="28"/>
      <c r="S26" s="28"/>
      <c r="T26" s="28"/>
      <c r="U26" s="28"/>
      <c r="V26" s="28"/>
      <c r="W26" s="28"/>
      <c r="X26" s="28"/>
      <c r="Y26" s="28"/>
      <c r="Z26" s="28"/>
      <c r="AA26" s="28"/>
      <c r="AB26" s="16"/>
      <c r="AC26" s="16"/>
      <c r="AD26" s="16"/>
      <c r="AE26" s="28"/>
      <c r="AF26" s="16"/>
      <c r="AG26" s="28"/>
      <c r="AH26" s="16"/>
      <c r="AI26" s="28"/>
      <c r="AJ26" s="16"/>
      <c r="AK26" s="28"/>
      <c r="AL26" s="16"/>
      <c r="AM26" s="28"/>
      <c r="AN26" s="16"/>
      <c r="AO26" s="28"/>
      <c r="AP26" s="16"/>
      <c r="AQ26" s="28"/>
      <c r="AR26" s="16"/>
      <c r="AS26" s="17"/>
      <c r="AT26" s="17"/>
      <c r="AU26" s="17"/>
      <c r="AV26" s="17"/>
      <c r="AW26" s="17"/>
      <c r="AX26" s="16"/>
    </row>
    <row r="27" spans="2:50" ht="10.5" customHeight="1">
      <c r="B27" s="42"/>
      <c r="C27" s="42"/>
      <c r="D27" s="138" t="s">
        <v>348</v>
      </c>
      <c r="E27" s="28"/>
      <c r="F27" s="28"/>
      <c r="G27" s="28"/>
      <c r="H27" s="28"/>
      <c r="I27" s="28"/>
      <c r="J27" s="28"/>
      <c r="K27" s="28"/>
      <c r="L27" s="28"/>
      <c r="M27" s="28"/>
      <c r="N27" s="28"/>
      <c r="O27" s="28"/>
      <c r="P27" s="28"/>
      <c r="Q27" s="28"/>
      <c r="R27" s="28"/>
      <c r="S27" s="28"/>
      <c r="T27" s="28"/>
      <c r="U27" s="28"/>
      <c r="V27" s="28"/>
      <c r="W27" s="28"/>
      <c r="X27" s="28"/>
      <c r="Y27" s="28"/>
      <c r="Z27" s="28"/>
      <c r="AA27" s="28"/>
      <c r="AB27" s="16"/>
      <c r="AC27" s="16"/>
      <c r="AD27" s="16"/>
      <c r="AE27" s="28"/>
      <c r="AF27" s="16"/>
      <c r="AG27" s="28"/>
      <c r="AH27" s="16"/>
      <c r="AI27" s="28"/>
      <c r="AJ27" s="16"/>
      <c r="AK27" s="28"/>
      <c r="AL27" s="16"/>
      <c r="AM27" s="28"/>
      <c r="AN27" s="16"/>
      <c r="AO27" s="28"/>
      <c r="AP27" s="16"/>
      <c r="AQ27" s="28"/>
      <c r="AR27" s="16"/>
      <c r="AS27" s="17"/>
      <c r="AT27" s="17"/>
      <c r="AU27" s="17"/>
      <c r="AV27" s="17"/>
      <c r="AW27" s="17"/>
      <c r="AX27" s="138" t="s">
        <v>349</v>
      </c>
    </row>
    <row r="28" spans="2:50" ht="10.5" customHeight="1">
      <c r="B28" s="42"/>
      <c r="C28" s="42"/>
      <c r="D28" s="63" t="s">
        <v>350</v>
      </c>
      <c r="E28" s="28"/>
      <c r="F28" s="28"/>
      <c r="G28" s="28"/>
      <c r="H28" s="28"/>
      <c r="I28" s="28"/>
      <c r="J28" s="28"/>
      <c r="K28" s="28"/>
      <c r="L28" s="28"/>
      <c r="M28" s="28"/>
      <c r="N28" s="28"/>
      <c r="O28" s="28"/>
      <c r="P28" s="28"/>
      <c r="Q28" s="28"/>
      <c r="R28" s="28"/>
      <c r="S28" s="28"/>
      <c r="T28" s="28"/>
      <c r="U28" s="28"/>
      <c r="V28" s="28"/>
      <c r="W28" s="28"/>
      <c r="X28" s="28"/>
      <c r="Y28" s="28"/>
      <c r="Z28" s="28"/>
      <c r="AA28" s="28"/>
      <c r="AB28" s="16"/>
      <c r="AC28" s="16"/>
      <c r="AD28" s="16"/>
      <c r="AE28" s="28"/>
      <c r="AF28" s="16"/>
      <c r="AG28" s="28"/>
      <c r="AH28" s="16"/>
      <c r="AI28" s="28"/>
      <c r="AJ28" s="16"/>
      <c r="AK28" s="28"/>
      <c r="AL28" s="16"/>
      <c r="AM28" s="28"/>
      <c r="AN28" s="16"/>
      <c r="AO28" s="28"/>
      <c r="AP28" s="16"/>
      <c r="AQ28" s="28"/>
      <c r="AR28" s="16"/>
      <c r="AS28" s="17"/>
      <c r="AT28" s="17"/>
      <c r="AU28" s="17"/>
      <c r="AV28" s="17"/>
      <c r="AW28" s="17"/>
      <c r="AX28" s="63" t="s">
        <v>351</v>
      </c>
    </row>
    <row r="29" spans="2:50" ht="6.6" customHeight="1">
      <c r="B29" s="42"/>
      <c r="C29" s="42"/>
      <c r="D29" s="16"/>
      <c r="E29" s="28"/>
      <c r="F29" s="28"/>
      <c r="G29" s="28"/>
      <c r="H29" s="28"/>
      <c r="I29" s="28"/>
      <c r="J29" s="28"/>
      <c r="K29" s="28"/>
      <c r="L29" s="28"/>
      <c r="M29" s="28"/>
      <c r="N29" s="28"/>
      <c r="O29" s="28"/>
      <c r="P29" s="28"/>
      <c r="Q29" s="28"/>
      <c r="R29" s="28"/>
      <c r="S29" s="28"/>
      <c r="T29" s="28"/>
      <c r="U29" s="28"/>
      <c r="V29" s="28"/>
      <c r="W29" s="28"/>
      <c r="X29" s="28"/>
      <c r="Y29" s="28"/>
      <c r="Z29" s="28"/>
      <c r="AA29" s="28"/>
      <c r="AB29" s="16"/>
      <c r="AC29" s="16"/>
      <c r="AD29" s="16"/>
      <c r="AE29" s="28"/>
      <c r="AF29" s="16"/>
      <c r="AG29" s="28"/>
      <c r="AH29" s="16"/>
      <c r="AI29" s="28"/>
      <c r="AJ29" s="16"/>
      <c r="AK29" s="28"/>
      <c r="AL29" s="16"/>
      <c r="AM29" s="28"/>
      <c r="AN29" s="16"/>
      <c r="AO29" s="28"/>
      <c r="AP29" s="16"/>
      <c r="AQ29" s="28"/>
      <c r="AR29" s="16"/>
      <c r="AS29" s="17"/>
      <c r="AT29" s="17"/>
      <c r="AU29" s="17"/>
      <c r="AV29" s="17"/>
      <c r="AW29" s="17"/>
      <c r="AX29" s="16"/>
    </row>
    <row r="30" spans="2:50" ht="10.5" customHeight="1">
      <c r="B30" s="42"/>
      <c r="C30" s="42"/>
      <c r="D30" s="63" t="s">
        <v>488</v>
      </c>
      <c r="E30" s="28"/>
      <c r="F30" s="28"/>
      <c r="G30" s="28"/>
      <c r="H30" s="28"/>
      <c r="I30" s="28"/>
      <c r="J30" s="28"/>
      <c r="K30" s="28"/>
      <c r="L30" s="28"/>
      <c r="M30" s="28"/>
      <c r="N30" s="28"/>
      <c r="O30" s="28"/>
      <c r="P30" s="28"/>
      <c r="Q30" s="28"/>
      <c r="R30" s="28"/>
      <c r="S30" s="28"/>
      <c r="T30" s="28"/>
      <c r="U30" s="28"/>
      <c r="V30" s="28"/>
      <c r="W30" s="28"/>
      <c r="X30" s="28"/>
      <c r="Y30" s="28"/>
      <c r="Z30" s="28"/>
      <c r="AA30" s="28"/>
      <c r="AB30" s="16"/>
      <c r="AC30" s="16"/>
      <c r="AD30" s="16"/>
      <c r="AE30" s="28"/>
      <c r="AF30" s="16"/>
      <c r="AG30" s="28"/>
      <c r="AH30" s="16"/>
      <c r="AI30" s="28"/>
      <c r="AJ30" s="16"/>
      <c r="AK30" s="28"/>
      <c r="AL30" s="16"/>
      <c r="AM30" s="28"/>
      <c r="AN30" s="16"/>
      <c r="AO30" s="28"/>
      <c r="AP30" s="16"/>
      <c r="AQ30" s="28"/>
      <c r="AR30" s="16"/>
      <c r="AS30" s="17"/>
      <c r="AT30" s="17"/>
      <c r="AU30" s="17"/>
      <c r="AV30" s="17"/>
      <c r="AW30" s="17"/>
      <c r="AX30" s="63" t="s">
        <v>335</v>
      </c>
    </row>
    <row r="31" spans="2:50" ht="10.5" customHeight="1">
      <c r="B31" s="42">
        <v>13</v>
      </c>
      <c r="C31" s="42"/>
      <c r="D31" s="16" t="s">
        <v>336</v>
      </c>
      <c r="E31" s="28">
        <v>3633</v>
      </c>
      <c r="F31" s="28"/>
      <c r="G31" s="28">
        <v>3274</v>
      </c>
      <c r="H31" s="28"/>
      <c r="I31" s="28">
        <v>3266</v>
      </c>
      <c r="J31" s="28"/>
      <c r="K31" s="28">
        <v>3092</v>
      </c>
      <c r="L31" s="28"/>
      <c r="M31" s="28">
        <v>2737</v>
      </c>
      <c r="N31" s="28"/>
      <c r="O31" s="28">
        <v>3029</v>
      </c>
      <c r="P31" s="28"/>
      <c r="Q31" s="28">
        <v>3061</v>
      </c>
      <c r="R31" s="28"/>
      <c r="S31" s="28">
        <v>2485</v>
      </c>
      <c r="T31" s="28"/>
      <c r="U31" s="28">
        <v>2072</v>
      </c>
      <c r="V31" s="28"/>
      <c r="W31" s="28">
        <v>2123</v>
      </c>
      <c r="X31" s="28"/>
      <c r="Y31" s="28">
        <v>2099</v>
      </c>
      <c r="Z31" s="28"/>
      <c r="AA31" s="28">
        <v>1553</v>
      </c>
      <c r="AB31" s="16"/>
      <c r="AC31" s="28">
        <v>1190</v>
      </c>
      <c r="AD31" s="16"/>
      <c r="AE31" s="28">
        <v>1109</v>
      </c>
      <c r="AF31" s="67"/>
      <c r="AG31" s="28">
        <v>1649</v>
      </c>
      <c r="AH31" s="16"/>
      <c r="AI31" s="28">
        <v>1446</v>
      </c>
      <c r="AJ31" s="23"/>
      <c r="AK31" s="28">
        <v>1121</v>
      </c>
      <c r="AL31" s="23"/>
      <c r="AM31" s="28">
        <v>1136</v>
      </c>
      <c r="AN31" s="23"/>
      <c r="AO31" s="28">
        <v>1074</v>
      </c>
      <c r="AP31" s="23"/>
      <c r="AQ31" s="28">
        <v>1070</v>
      </c>
      <c r="AR31" s="23"/>
      <c r="AS31" s="28">
        <v>1033</v>
      </c>
      <c r="AT31" s="23"/>
      <c r="AU31" s="28">
        <v>1008</v>
      </c>
      <c r="AV31" s="23"/>
      <c r="AW31" s="23"/>
      <c r="AX31" s="16" t="s">
        <v>337</v>
      </c>
    </row>
    <row r="32" spans="2:50" ht="10.5" customHeight="1">
      <c r="B32" s="42">
        <v>14</v>
      </c>
      <c r="C32" s="42"/>
      <c r="D32" s="16" t="s">
        <v>338</v>
      </c>
      <c r="E32" s="28">
        <v>449</v>
      </c>
      <c r="F32" s="28"/>
      <c r="G32" s="28">
        <v>447</v>
      </c>
      <c r="H32" s="28"/>
      <c r="I32" s="28">
        <v>441</v>
      </c>
      <c r="J32" s="28"/>
      <c r="K32" s="28">
        <v>418</v>
      </c>
      <c r="L32" s="28"/>
      <c r="M32" s="28">
        <v>381</v>
      </c>
      <c r="N32" s="28"/>
      <c r="O32" s="28">
        <v>378</v>
      </c>
      <c r="P32" s="28"/>
      <c r="Q32" s="28">
        <v>378</v>
      </c>
      <c r="R32" s="28"/>
      <c r="S32" s="28">
        <v>381</v>
      </c>
      <c r="T32" s="28"/>
      <c r="U32" s="28">
        <v>373</v>
      </c>
      <c r="V32" s="28"/>
      <c r="W32" s="28">
        <v>335</v>
      </c>
      <c r="X32" s="28"/>
      <c r="Y32" s="28">
        <v>287</v>
      </c>
      <c r="Z32" s="28"/>
      <c r="AA32" s="28">
        <v>264</v>
      </c>
      <c r="AB32" s="16"/>
      <c r="AC32" s="28">
        <v>245</v>
      </c>
      <c r="AD32" s="16"/>
      <c r="AE32" s="28">
        <v>220</v>
      </c>
      <c r="AF32" s="16"/>
      <c r="AG32" s="28">
        <v>182</v>
      </c>
      <c r="AH32" s="16"/>
      <c r="AI32" s="28">
        <v>226</v>
      </c>
      <c r="AJ32" s="23"/>
      <c r="AK32" s="28">
        <v>126</v>
      </c>
      <c r="AL32" s="23"/>
      <c r="AM32" s="28">
        <v>113</v>
      </c>
      <c r="AN32" s="23"/>
      <c r="AO32" s="28">
        <v>160</v>
      </c>
      <c r="AP32" s="23"/>
      <c r="AQ32" s="28">
        <v>156</v>
      </c>
      <c r="AR32" s="23"/>
      <c r="AS32" s="28">
        <v>136</v>
      </c>
      <c r="AT32" s="23"/>
      <c r="AU32" s="28">
        <v>114</v>
      </c>
      <c r="AV32" s="23"/>
      <c r="AW32" s="23"/>
      <c r="AX32" s="16" t="s">
        <v>339</v>
      </c>
    </row>
    <row r="33" spans="2:50" ht="10.5" customHeight="1">
      <c r="B33" s="42">
        <v>15</v>
      </c>
      <c r="C33" s="42"/>
      <c r="D33" s="16" t="s">
        <v>340</v>
      </c>
      <c r="E33" s="28">
        <v>6824</v>
      </c>
      <c r="F33" s="28"/>
      <c r="G33" s="28">
        <v>6860</v>
      </c>
      <c r="H33" s="28"/>
      <c r="I33" s="28">
        <v>6362</v>
      </c>
      <c r="J33" s="28"/>
      <c r="K33" s="28">
        <v>5826</v>
      </c>
      <c r="L33" s="28"/>
      <c r="M33" s="28">
        <v>6315</v>
      </c>
      <c r="N33" s="28"/>
      <c r="O33" s="28">
        <v>5547</v>
      </c>
      <c r="P33" s="28"/>
      <c r="Q33" s="28">
        <v>5438</v>
      </c>
      <c r="R33" s="28"/>
      <c r="S33" s="28">
        <v>5421</v>
      </c>
      <c r="T33" s="28"/>
      <c r="U33" s="28">
        <v>5735</v>
      </c>
      <c r="V33" s="28"/>
      <c r="W33" s="28">
        <v>4573</v>
      </c>
      <c r="X33" s="28"/>
      <c r="Y33" s="28">
        <v>4521</v>
      </c>
      <c r="Z33" s="28"/>
      <c r="AA33" s="28">
        <v>4218</v>
      </c>
      <c r="AB33" s="16"/>
      <c r="AC33" s="28">
        <v>3937</v>
      </c>
      <c r="AD33" s="16"/>
      <c r="AE33" s="28">
        <v>3304</v>
      </c>
      <c r="AF33" s="16"/>
      <c r="AG33" s="28">
        <v>3475</v>
      </c>
      <c r="AH33" s="16"/>
      <c r="AI33" s="28">
        <v>3951</v>
      </c>
      <c r="AJ33" s="23"/>
      <c r="AK33" s="28">
        <v>5104</v>
      </c>
      <c r="AL33" s="23"/>
      <c r="AM33" s="28">
        <v>5150</v>
      </c>
      <c r="AN33" s="23"/>
      <c r="AO33" s="28">
        <v>4738</v>
      </c>
      <c r="AP33" s="23"/>
      <c r="AQ33" s="28">
        <v>5050</v>
      </c>
      <c r="AR33" s="23" t="s">
        <v>810</v>
      </c>
      <c r="AS33" s="28">
        <v>5510</v>
      </c>
      <c r="AT33" s="23" t="s">
        <v>810</v>
      </c>
      <c r="AU33" s="28">
        <v>5336</v>
      </c>
      <c r="AV33" s="23"/>
      <c r="AW33" s="23"/>
      <c r="AX33" s="16" t="s">
        <v>341</v>
      </c>
    </row>
    <row r="34" spans="2:50" ht="10.5" customHeight="1">
      <c r="B34" s="42">
        <v>16</v>
      </c>
      <c r="C34" s="42"/>
      <c r="D34" s="16" t="s">
        <v>342</v>
      </c>
      <c r="E34" s="28">
        <v>81</v>
      </c>
      <c r="F34" s="28"/>
      <c r="G34" s="28">
        <v>115</v>
      </c>
      <c r="H34" s="28"/>
      <c r="I34" s="28">
        <v>113</v>
      </c>
      <c r="J34" s="28"/>
      <c r="K34" s="28">
        <v>113</v>
      </c>
      <c r="L34" s="28"/>
      <c r="M34" s="28">
        <v>109</v>
      </c>
      <c r="N34" s="28"/>
      <c r="O34" s="28">
        <v>108</v>
      </c>
      <c r="P34" s="28"/>
      <c r="Q34" s="28">
        <v>108</v>
      </c>
      <c r="R34" s="28"/>
      <c r="S34" s="28">
        <v>108</v>
      </c>
      <c r="T34" s="28"/>
      <c r="U34" s="28">
        <v>134</v>
      </c>
      <c r="V34" s="28"/>
      <c r="W34" s="28">
        <v>124</v>
      </c>
      <c r="X34" s="28"/>
      <c r="Y34" s="28">
        <v>117</v>
      </c>
      <c r="Z34" s="28"/>
      <c r="AA34" s="28">
        <v>111</v>
      </c>
      <c r="AB34" s="16"/>
      <c r="AC34" s="28">
        <v>111</v>
      </c>
      <c r="AD34" s="16"/>
      <c r="AE34" s="28">
        <v>102</v>
      </c>
      <c r="AF34" s="16"/>
      <c r="AG34" s="28">
        <v>110</v>
      </c>
      <c r="AH34" s="16"/>
      <c r="AI34" s="28">
        <v>110</v>
      </c>
      <c r="AJ34" s="23"/>
      <c r="AK34" s="28">
        <v>95</v>
      </c>
      <c r="AL34" s="23"/>
      <c r="AM34" s="28">
        <v>95</v>
      </c>
      <c r="AN34" s="23"/>
      <c r="AO34" s="28">
        <v>95</v>
      </c>
      <c r="AP34" s="23"/>
      <c r="AQ34" s="28">
        <v>95</v>
      </c>
      <c r="AR34" s="23"/>
      <c r="AS34" s="28">
        <v>95</v>
      </c>
      <c r="AT34" s="23"/>
      <c r="AU34" s="28">
        <v>95</v>
      </c>
      <c r="AV34" s="23"/>
      <c r="AW34" s="23"/>
      <c r="AX34" s="16" t="s">
        <v>343</v>
      </c>
    </row>
    <row r="35" spans="2:50" ht="10.5" customHeight="1">
      <c r="B35" s="42">
        <v>17</v>
      </c>
      <c r="C35" s="42"/>
      <c r="D35" s="16" t="s">
        <v>344</v>
      </c>
      <c r="E35" s="28">
        <v>1014</v>
      </c>
      <c r="F35" s="28"/>
      <c r="G35" s="28">
        <v>999</v>
      </c>
      <c r="H35" s="28"/>
      <c r="I35" s="28">
        <v>1003</v>
      </c>
      <c r="J35" s="28"/>
      <c r="K35" s="28">
        <v>1055</v>
      </c>
      <c r="L35" s="28"/>
      <c r="M35" s="28">
        <v>1019</v>
      </c>
      <c r="N35" s="28"/>
      <c r="O35" s="28">
        <v>1099</v>
      </c>
      <c r="P35" s="28"/>
      <c r="Q35" s="28">
        <v>1128</v>
      </c>
      <c r="R35" s="28"/>
      <c r="S35" s="28">
        <v>1140</v>
      </c>
      <c r="T35" s="28"/>
      <c r="U35" s="28">
        <v>1168</v>
      </c>
      <c r="V35" s="28"/>
      <c r="W35" s="28">
        <v>1189</v>
      </c>
      <c r="X35" s="28"/>
      <c r="Y35" s="28">
        <v>1258</v>
      </c>
      <c r="Z35" s="28"/>
      <c r="AA35" s="28">
        <v>1188</v>
      </c>
      <c r="AB35" s="16"/>
      <c r="AC35" s="28">
        <v>1305</v>
      </c>
      <c r="AD35" s="16"/>
      <c r="AE35" s="28">
        <v>1341</v>
      </c>
      <c r="AF35" s="16"/>
      <c r="AG35" s="28">
        <v>1507</v>
      </c>
      <c r="AH35" s="16"/>
      <c r="AI35" s="28">
        <v>1536</v>
      </c>
      <c r="AJ35" s="23"/>
      <c r="AK35" s="28">
        <v>1332</v>
      </c>
      <c r="AL35" s="23"/>
      <c r="AM35" s="28">
        <v>1332</v>
      </c>
      <c r="AN35" s="23"/>
      <c r="AO35" s="28">
        <v>1341</v>
      </c>
      <c r="AP35" s="23"/>
      <c r="AQ35" s="28">
        <v>1341</v>
      </c>
      <c r="AR35" s="23"/>
      <c r="AS35" s="28">
        <v>1341</v>
      </c>
      <c r="AT35" s="23"/>
      <c r="AU35" s="28">
        <v>1214</v>
      </c>
      <c r="AV35" s="23"/>
      <c r="AW35" s="23"/>
      <c r="AX35" s="16" t="s">
        <v>345</v>
      </c>
    </row>
    <row r="36" spans="2:50" ht="10.5" customHeight="1">
      <c r="B36" s="42">
        <v>18</v>
      </c>
      <c r="C36" s="42"/>
      <c r="D36" s="18" t="s">
        <v>68</v>
      </c>
      <c r="E36" s="65">
        <v>12001</v>
      </c>
      <c r="F36" s="65"/>
      <c r="G36" s="65">
        <v>11695</v>
      </c>
      <c r="H36" s="65"/>
      <c r="I36" s="65">
        <v>11185</v>
      </c>
      <c r="J36" s="65"/>
      <c r="K36" s="65">
        <v>10504</v>
      </c>
      <c r="L36" s="65"/>
      <c r="M36" s="65">
        <v>10561</v>
      </c>
      <c r="N36" s="65"/>
      <c r="O36" s="65">
        <v>10161</v>
      </c>
      <c r="P36" s="65"/>
      <c r="Q36" s="65">
        <v>10113</v>
      </c>
      <c r="R36" s="65"/>
      <c r="S36" s="65">
        <v>9535</v>
      </c>
      <c r="T36" s="65"/>
      <c r="U36" s="65">
        <v>9482</v>
      </c>
      <c r="V36" s="65"/>
      <c r="W36" s="65">
        <v>8344</v>
      </c>
      <c r="X36" s="65"/>
      <c r="Y36" s="65">
        <v>8282</v>
      </c>
      <c r="Z36" s="65"/>
      <c r="AA36" s="65">
        <v>7334</v>
      </c>
      <c r="AB36" s="16"/>
      <c r="AC36" s="65">
        <v>6788</v>
      </c>
      <c r="AD36" s="16"/>
      <c r="AE36" s="65">
        <v>6076</v>
      </c>
      <c r="AF36" s="67"/>
      <c r="AG36" s="65">
        <v>6923</v>
      </c>
      <c r="AH36" s="16"/>
      <c r="AI36" s="65">
        <v>7269</v>
      </c>
      <c r="AJ36" s="23"/>
      <c r="AK36" s="65">
        <v>7778</v>
      </c>
      <c r="AL36" s="23"/>
      <c r="AM36" s="65">
        <v>7826</v>
      </c>
      <c r="AN36" s="23"/>
      <c r="AO36" s="65">
        <v>7408</v>
      </c>
      <c r="AP36" s="23"/>
      <c r="AQ36" s="65">
        <v>7712</v>
      </c>
      <c r="AR36" s="23" t="s">
        <v>810</v>
      </c>
      <c r="AS36" s="65">
        <v>8115</v>
      </c>
      <c r="AT36" s="23" t="s">
        <v>810</v>
      </c>
      <c r="AU36" s="65">
        <v>7767</v>
      </c>
      <c r="AV36" s="23"/>
      <c r="AW36" s="23"/>
      <c r="AX36" s="18" t="s">
        <v>84</v>
      </c>
    </row>
    <row r="37" spans="2:50" ht="6.6" customHeight="1">
      <c r="B37" s="42"/>
      <c r="C37" s="42"/>
      <c r="D37" s="16"/>
      <c r="E37" s="28"/>
      <c r="F37" s="28"/>
      <c r="G37" s="28"/>
      <c r="H37" s="28"/>
      <c r="I37" s="28"/>
      <c r="J37" s="28"/>
      <c r="K37" s="28"/>
      <c r="L37" s="28"/>
      <c r="M37" s="28"/>
      <c r="N37" s="28"/>
      <c r="O37" s="28"/>
      <c r="P37" s="28"/>
      <c r="Q37" s="28"/>
      <c r="R37" s="28"/>
      <c r="S37" s="28"/>
      <c r="T37" s="28"/>
      <c r="U37" s="28"/>
      <c r="V37" s="28"/>
      <c r="W37" s="28"/>
      <c r="X37" s="28"/>
      <c r="Y37" s="28"/>
      <c r="Z37" s="28"/>
      <c r="AA37" s="28"/>
      <c r="AB37" s="16"/>
      <c r="AC37" s="28"/>
      <c r="AD37" s="16"/>
      <c r="AE37" s="28"/>
      <c r="AF37" s="16"/>
      <c r="AG37" s="28"/>
      <c r="AH37" s="16"/>
      <c r="AI37" s="28"/>
      <c r="AJ37" s="16"/>
      <c r="AK37" s="28"/>
      <c r="AL37" s="16"/>
      <c r="AM37" s="28"/>
      <c r="AN37" s="16"/>
      <c r="AO37" s="28"/>
      <c r="AP37" s="16"/>
      <c r="AQ37" s="28"/>
      <c r="AR37" s="16"/>
      <c r="AS37" s="17"/>
      <c r="AT37" s="17"/>
      <c r="AU37" s="17"/>
      <c r="AV37" s="17"/>
      <c r="AW37" s="17"/>
      <c r="AX37" s="16"/>
    </row>
    <row r="38" spans="2:50" ht="10.5" customHeight="1">
      <c r="B38" s="42"/>
      <c r="C38" s="42"/>
      <c r="D38" s="63" t="s">
        <v>346</v>
      </c>
      <c r="E38" s="28"/>
      <c r="F38" s="28"/>
      <c r="G38" s="28"/>
      <c r="H38" s="28"/>
      <c r="I38" s="28"/>
      <c r="J38" s="28"/>
      <c r="K38" s="28"/>
      <c r="L38" s="28"/>
      <c r="M38" s="28"/>
      <c r="N38" s="28"/>
      <c r="O38" s="28"/>
      <c r="P38" s="28"/>
      <c r="Q38" s="28"/>
      <c r="R38" s="28"/>
      <c r="S38" s="28"/>
      <c r="T38" s="28"/>
      <c r="U38" s="28"/>
      <c r="V38" s="28"/>
      <c r="W38" s="28"/>
      <c r="X38" s="28"/>
      <c r="Y38" s="28"/>
      <c r="Z38" s="28"/>
      <c r="AA38" s="28"/>
      <c r="AB38" s="16"/>
      <c r="AC38" s="28"/>
      <c r="AD38" s="16"/>
      <c r="AE38" s="28"/>
      <c r="AF38" s="16"/>
      <c r="AG38" s="28"/>
      <c r="AH38" s="16"/>
      <c r="AI38" s="28"/>
      <c r="AJ38" s="16"/>
      <c r="AK38" s="28"/>
      <c r="AL38" s="16"/>
      <c r="AM38" s="28"/>
      <c r="AN38" s="16"/>
      <c r="AO38" s="28"/>
      <c r="AP38" s="16"/>
      <c r="AQ38" s="28"/>
      <c r="AR38" s="16"/>
      <c r="AS38" s="17"/>
      <c r="AT38" s="17"/>
      <c r="AU38" s="17"/>
      <c r="AV38" s="17"/>
      <c r="AW38" s="17"/>
      <c r="AX38" s="63" t="s">
        <v>347</v>
      </c>
    </row>
    <row r="39" spans="2:50" ht="10.5" customHeight="1">
      <c r="B39" s="42">
        <v>19</v>
      </c>
      <c r="C39" s="42"/>
      <c r="D39" s="16" t="s">
        <v>336</v>
      </c>
      <c r="E39" s="28">
        <v>108257</v>
      </c>
      <c r="F39" s="28"/>
      <c r="G39" s="28">
        <v>97665</v>
      </c>
      <c r="H39" s="28"/>
      <c r="I39" s="28">
        <v>105180</v>
      </c>
      <c r="J39" s="28"/>
      <c r="K39" s="28">
        <v>99960</v>
      </c>
      <c r="L39" s="28"/>
      <c r="M39" s="28">
        <v>92643</v>
      </c>
      <c r="N39" s="28"/>
      <c r="O39" s="28">
        <v>120503</v>
      </c>
      <c r="P39" s="28"/>
      <c r="Q39" s="28">
        <v>118356.81932021468</v>
      </c>
      <c r="R39" s="28"/>
      <c r="S39" s="28">
        <v>98950</v>
      </c>
      <c r="T39" s="28"/>
      <c r="U39" s="28">
        <v>77394</v>
      </c>
      <c r="V39" s="28"/>
      <c r="W39" s="28">
        <v>87105</v>
      </c>
      <c r="X39" s="28"/>
      <c r="Y39" s="28">
        <v>86122</v>
      </c>
      <c r="Z39" s="28"/>
      <c r="AA39" s="28">
        <v>64549</v>
      </c>
      <c r="AB39" s="16"/>
      <c r="AC39" s="28">
        <v>49967</v>
      </c>
      <c r="AD39" s="16"/>
      <c r="AE39" s="28">
        <v>46313</v>
      </c>
      <c r="AF39" s="16"/>
      <c r="AG39" s="28">
        <v>65007</v>
      </c>
      <c r="AH39" s="16"/>
      <c r="AI39" s="28">
        <v>57521.32944068838</v>
      </c>
      <c r="AJ39" s="23"/>
      <c r="AK39" s="28">
        <v>70929</v>
      </c>
      <c r="AL39" s="23"/>
      <c r="AM39" s="28">
        <v>37582</v>
      </c>
      <c r="AN39" s="23"/>
      <c r="AO39" s="28">
        <v>33924</v>
      </c>
      <c r="AP39" s="23"/>
      <c r="AQ39" s="28">
        <v>33777</v>
      </c>
      <c r="AR39" s="16"/>
      <c r="AS39" s="28">
        <v>31648</v>
      </c>
      <c r="AT39" s="17"/>
      <c r="AU39" s="28">
        <v>30923</v>
      </c>
      <c r="AV39" s="17"/>
      <c r="AW39" s="17"/>
      <c r="AX39" s="16" t="s">
        <v>337</v>
      </c>
    </row>
    <row r="40" spans="2:50" ht="10.5" customHeight="1">
      <c r="B40" s="42">
        <v>20</v>
      </c>
      <c r="C40" s="42"/>
      <c r="D40" s="16" t="s">
        <v>338</v>
      </c>
      <c r="E40" s="28">
        <v>17458</v>
      </c>
      <c r="F40" s="28"/>
      <c r="G40" s="28">
        <v>16092</v>
      </c>
      <c r="H40" s="28"/>
      <c r="I40" s="28">
        <v>15876</v>
      </c>
      <c r="J40" s="28"/>
      <c r="K40" s="28">
        <v>15048</v>
      </c>
      <c r="L40" s="28"/>
      <c r="M40" s="28">
        <v>14879</v>
      </c>
      <c r="N40" s="28"/>
      <c r="O40" s="28">
        <v>14440</v>
      </c>
      <c r="P40" s="28"/>
      <c r="Q40" s="28">
        <v>14440</v>
      </c>
      <c r="R40" s="28"/>
      <c r="S40" s="28">
        <v>14879</v>
      </c>
      <c r="T40" s="28"/>
      <c r="U40" s="28">
        <v>14647</v>
      </c>
      <c r="V40" s="28"/>
      <c r="W40" s="28">
        <v>13630</v>
      </c>
      <c r="X40" s="28"/>
      <c r="Y40" s="28">
        <v>11652</v>
      </c>
      <c r="Z40" s="28"/>
      <c r="AA40" s="28">
        <v>10718</v>
      </c>
      <c r="AB40" s="16"/>
      <c r="AC40" s="28">
        <v>9764</v>
      </c>
      <c r="AD40" s="16"/>
      <c r="AE40" s="28">
        <v>8800</v>
      </c>
      <c r="AF40" s="16"/>
      <c r="AG40" s="28">
        <v>7994</v>
      </c>
      <c r="AH40" s="16"/>
      <c r="AI40" s="28">
        <v>9926.6153846153848</v>
      </c>
      <c r="AJ40" s="23"/>
      <c r="AK40" s="28">
        <v>6225</v>
      </c>
      <c r="AL40" s="23"/>
      <c r="AM40" s="28">
        <v>6016</v>
      </c>
      <c r="AN40" s="23"/>
      <c r="AO40" s="28">
        <v>18250</v>
      </c>
      <c r="AP40" s="23"/>
      <c r="AQ40" s="28">
        <v>18130</v>
      </c>
      <c r="AR40" s="16"/>
      <c r="AS40" s="28">
        <v>16825</v>
      </c>
      <c r="AT40" s="17"/>
      <c r="AU40" s="28">
        <v>15890</v>
      </c>
      <c r="AV40" s="17"/>
      <c r="AW40" s="17"/>
      <c r="AX40" s="16" t="s">
        <v>339</v>
      </c>
    </row>
    <row r="41" spans="2:50" ht="10.5" customHeight="1">
      <c r="B41" s="42">
        <v>21</v>
      </c>
      <c r="C41" s="42"/>
      <c r="D41" s="16" t="s">
        <v>340</v>
      </c>
      <c r="E41" s="28">
        <v>248624.74074074073</v>
      </c>
      <c r="F41" s="28"/>
      <c r="G41" s="28">
        <v>217711.85185185185</v>
      </c>
      <c r="H41" s="28"/>
      <c r="I41" s="28">
        <v>199569</v>
      </c>
      <c r="J41" s="28"/>
      <c r="K41" s="28">
        <v>192804</v>
      </c>
      <c r="L41" s="28"/>
      <c r="M41" s="28">
        <v>283085</v>
      </c>
      <c r="N41" s="28"/>
      <c r="O41" s="28">
        <v>258052</v>
      </c>
      <c r="P41" s="28"/>
      <c r="Q41" s="28">
        <v>251465</v>
      </c>
      <c r="R41" s="28"/>
      <c r="S41" s="28">
        <v>256775</v>
      </c>
      <c r="T41" s="28"/>
      <c r="U41" s="28">
        <v>298009</v>
      </c>
      <c r="V41" s="28"/>
      <c r="W41" s="28">
        <v>236659</v>
      </c>
      <c r="X41" s="28"/>
      <c r="Y41" s="28">
        <v>234295</v>
      </c>
      <c r="Z41" s="28"/>
      <c r="AA41" s="28">
        <v>221698</v>
      </c>
      <c r="AB41" s="16"/>
      <c r="AC41" s="28">
        <v>206079</v>
      </c>
      <c r="AD41" s="16"/>
      <c r="AE41" s="28">
        <v>166664</v>
      </c>
      <c r="AF41" s="16"/>
      <c r="AG41" s="28">
        <v>181636</v>
      </c>
      <c r="AH41" s="16"/>
      <c r="AI41" s="28">
        <v>214903.17707701639</v>
      </c>
      <c r="AJ41" s="23"/>
      <c r="AK41" s="28">
        <v>258643</v>
      </c>
      <c r="AL41" s="23"/>
      <c r="AM41" s="28">
        <v>287954</v>
      </c>
      <c r="AN41" s="23"/>
      <c r="AO41" s="28">
        <v>253606</v>
      </c>
      <c r="AP41" s="23"/>
      <c r="AQ41" s="28">
        <v>268117</v>
      </c>
      <c r="AR41" s="23" t="s">
        <v>810</v>
      </c>
      <c r="AS41" s="28">
        <v>300822</v>
      </c>
      <c r="AT41" s="23" t="s">
        <v>810</v>
      </c>
      <c r="AU41" s="28">
        <v>292631</v>
      </c>
      <c r="AV41" s="17"/>
      <c r="AW41" s="17"/>
      <c r="AX41" s="16" t="s">
        <v>341</v>
      </c>
    </row>
    <row r="42" spans="2:50" ht="10.5" customHeight="1">
      <c r="B42" s="42">
        <v>22</v>
      </c>
      <c r="C42" s="42"/>
      <c r="D42" s="16" t="s">
        <v>342</v>
      </c>
      <c r="E42" s="28">
        <v>848</v>
      </c>
      <c r="F42" s="28"/>
      <c r="G42" s="28">
        <v>2875</v>
      </c>
      <c r="H42" s="28"/>
      <c r="I42" s="28">
        <v>2825</v>
      </c>
      <c r="J42" s="28"/>
      <c r="K42" s="28">
        <v>2825</v>
      </c>
      <c r="L42" s="28"/>
      <c r="M42" s="28">
        <v>1990</v>
      </c>
      <c r="N42" s="28"/>
      <c r="O42" s="28">
        <v>2056</v>
      </c>
      <c r="P42" s="28"/>
      <c r="Q42" s="28">
        <v>2056</v>
      </c>
      <c r="R42" s="28"/>
      <c r="S42" s="28">
        <v>2056</v>
      </c>
      <c r="T42" s="28"/>
      <c r="U42" s="28">
        <v>2736</v>
      </c>
      <c r="V42" s="28"/>
      <c r="W42" s="28">
        <v>2636</v>
      </c>
      <c r="X42" s="28"/>
      <c r="Y42" s="28">
        <v>2480</v>
      </c>
      <c r="Z42" s="28"/>
      <c r="AA42" s="28">
        <v>2353</v>
      </c>
      <c r="AB42" s="16"/>
      <c r="AC42" s="28">
        <v>2353</v>
      </c>
      <c r="AD42" s="16"/>
      <c r="AE42" s="28">
        <v>2142</v>
      </c>
      <c r="AF42" s="16"/>
      <c r="AG42" s="28">
        <v>2457</v>
      </c>
      <c r="AH42" s="16"/>
      <c r="AI42" s="28">
        <v>2457</v>
      </c>
      <c r="AJ42" s="23"/>
      <c r="AK42" s="28">
        <v>2457</v>
      </c>
      <c r="AL42" s="23"/>
      <c r="AM42" s="28">
        <v>2378</v>
      </c>
      <c r="AN42" s="23"/>
      <c r="AO42" s="28">
        <v>2378</v>
      </c>
      <c r="AP42" s="23"/>
      <c r="AQ42" s="28">
        <v>2378</v>
      </c>
      <c r="AR42" s="16"/>
      <c r="AS42" s="28">
        <v>2378</v>
      </c>
      <c r="AT42" s="17"/>
      <c r="AU42" s="28">
        <v>2378</v>
      </c>
      <c r="AV42" s="17"/>
      <c r="AW42" s="17"/>
      <c r="AX42" s="16" t="s">
        <v>343</v>
      </c>
    </row>
    <row r="43" spans="2:50" ht="10.5" customHeight="1">
      <c r="B43" s="42">
        <v>23</v>
      </c>
      <c r="C43" s="42"/>
      <c r="D43" s="16" t="s">
        <v>344</v>
      </c>
      <c r="E43" s="28">
        <v>78892</v>
      </c>
      <c r="F43" s="28"/>
      <c r="G43" s="28">
        <v>78410</v>
      </c>
      <c r="H43" s="28"/>
      <c r="I43" s="28">
        <v>77750</v>
      </c>
      <c r="J43" s="28"/>
      <c r="K43" s="28">
        <v>83400</v>
      </c>
      <c r="L43" s="28"/>
      <c r="M43" s="28">
        <v>81632</v>
      </c>
      <c r="N43" s="28"/>
      <c r="O43" s="28">
        <v>88035</v>
      </c>
      <c r="P43" s="28"/>
      <c r="Q43" s="28">
        <v>90358</v>
      </c>
      <c r="R43" s="28"/>
      <c r="S43" s="28">
        <v>94509</v>
      </c>
      <c r="T43" s="28"/>
      <c r="U43" s="28">
        <v>103337</v>
      </c>
      <c r="V43" s="28"/>
      <c r="W43" s="28">
        <v>107857</v>
      </c>
      <c r="X43" s="28"/>
      <c r="Y43" s="28">
        <v>116117</v>
      </c>
      <c r="Z43" s="28"/>
      <c r="AA43" s="28">
        <v>113201</v>
      </c>
      <c r="AB43" s="16"/>
      <c r="AC43" s="28">
        <v>125480</v>
      </c>
      <c r="AD43" s="16"/>
      <c r="AE43" s="28">
        <v>130308</v>
      </c>
      <c r="AF43" s="16"/>
      <c r="AG43" s="28">
        <v>145482</v>
      </c>
      <c r="AH43" s="16"/>
      <c r="AI43" s="28">
        <v>143092</v>
      </c>
      <c r="AJ43" s="23"/>
      <c r="AK43" s="28">
        <v>129828</v>
      </c>
      <c r="AL43" s="23"/>
      <c r="AM43" s="28">
        <v>129820</v>
      </c>
      <c r="AN43" s="23"/>
      <c r="AO43" s="28">
        <v>131044</v>
      </c>
      <c r="AP43" s="23"/>
      <c r="AQ43" s="28">
        <v>131044</v>
      </c>
      <c r="AR43" s="16"/>
      <c r="AS43" s="28">
        <v>131044</v>
      </c>
      <c r="AT43" s="17"/>
      <c r="AU43" s="28">
        <v>119810</v>
      </c>
      <c r="AV43" s="17"/>
      <c r="AW43" s="17"/>
      <c r="AX43" s="16" t="s">
        <v>345</v>
      </c>
    </row>
    <row r="44" spans="2:50" ht="10.5" customHeight="1">
      <c r="B44" s="42">
        <v>24</v>
      </c>
      <c r="C44" s="42"/>
      <c r="D44" s="18" t="s">
        <v>68</v>
      </c>
      <c r="E44" s="65">
        <v>454079.74074074073</v>
      </c>
      <c r="F44" s="65"/>
      <c r="G44" s="65">
        <v>412753.85185185185</v>
      </c>
      <c r="H44" s="65"/>
      <c r="I44" s="65">
        <v>401200</v>
      </c>
      <c r="J44" s="65"/>
      <c r="K44" s="65">
        <v>394037</v>
      </c>
      <c r="L44" s="65"/>
      <c r="M44" s="65">
        <v>474229</v>
      </c>
      <c r="N44" s="65"/>
      <c r="O44" s="65">
        <v>483086</v>
      </c>
      <c r="P44" s="65"/>
      <c r="Q44" s="65">
        <v>476675.81932021468</v>
      </c>
      <c r="R44" s="65"/>
      <c r="S44" s="65">
        <v>467169</v>
      </c>
      <c r="T44" s="65"/>
      <c r="U44" s="65">
        <v>496123</v>
      </c>
      <c r="V44" s="65"/>
      <c r="W44" s="65">
        <v>447887</v>
      </c>
      <c r="X44" s="65"/>
      <c r="Y44" s="65">
        <v>450666</v>
      </c>
      <c r="Z44" s="65"/>
      <c r="AA44" s="65">
        <v>412519</v>
      </c>
      <c r="AB44" s="16"/>
      <c r="AC44" s="65">
        <v>393643</v>
      </c>
      <c r="AD44" s="16"/>
      <c r="AE44" s="65">
        <v>354227</v>
      </c>
      <c r="AF44" s="16"/>
      <c r="AG44" s="65">
        <v>402576</v>
      </c>
      <c r="AH44" s="16"/>
      <c r="AI44" s="65">
        <v>427900.12190232018</v>
      </c>
      <c r="AJ44" s="23"/>
      <c r="AK44" s="65">
        <v>468082</v>
      </c>
      <c r="AL44" s="23"/>
      <c r="AM44" s="65">
        <v>463750</v>
      </c>
      <c r="AN44" s="23"/>
      <c r="AO44" s="65">
        <v>439202</v>
      </c>
      <c r="AP44" s="23"/>
      <c r="AQ44" s="65">
        <v>453446</v>
      </c>
      <c r="AR44" s="23" t="s">
        <v>810</v>
      </c>
      <c r="AS44" s="65">
        <v>482717</v>
      </c>
      <c r="AT44" s="23" t="s">
        <v>810</v>
      </c>
      <c r="AU44" s="65">
        <v>461632</v>
      </c>
      <c r="AV44" s="17"/>
      <c r="AW44" s="17"/>
      <c r="AX44" s="18" t="s">
        <v>84</v>
      </c>
    </row>
    <row r="45" spans="2:50" ht="6" customHeight="1">
      <c r="B45" s="34"/>
      <c r="C45" s="34"/>
      <c r="D45" s="56"/>
      <c r="E45" s="83"/>
      <c r="F45" s="83"/>
      <c r="G45" s="83"/>
      <c r="H45" s="83"/>
      <c r="I45" s="83"/>
      <c r="J45" s="83"/>
      <c r="K45" s="83"/>
      <c r="L45" s="83"/>
      <c r="M45" s="83"/>
      <c r="N45" s="83"/>
      <c r="O45" s="83"/>
      <c r="P45" s="83"/>
      <c r="Q45" s="83"/>
      <c r="R45" s="83"/>
      <c r="S45" s="83"/>
      <c r="T45" s="83"/>
      <c r="U45" s="83"/>
      <c r="V45" s="83"/>
      <c r="W45" s="83"/>
      <c r="X45" s="83"/>
      <c r="Y45" s="83"/>
      <c r="Z45" s="83"/>
      <c r="AA45" s="83"/>
      <c r="AB45" s="70"/>
      <c r="AC45" s="70"/>
      <c r="AD45" s="70"/>
      <c r="AE45" s="83"/>
      <c r="AF45" s="70"/>
      <c r="AG45" s="83"/>
      <c r="AH45" s="70"/>
      <c r="AI45" s="83"/>
      <c r="AJ45" s="70"/>
      <c r="AK45" s="83"/>
      <c r="AL45" s="70"/>
      <c r="AM45" s="83"/>
      <c r="AN45" s="70"/>
      <c r="AO45" s="83"/>
      <c r="AP45" s="70"/>
      <c r="AQ45" s="83"/>
      <c r="AR45" s="70"/>
      <c r="AS45" s="41"/>
      <c r="AT45" s="41"/>
      <c r="AU45" s="41"/>
      <c r="AV45" s="41"/>
      <c r="AW45" s="41"/>
      <c r="AX45" s="56"/>
    </row>
    <row r="46" spans="2:50" ht="6" customHeight="1">
      <c r="C46" s="42"/>
      <c r="D46" s="16"/>
      <c r="E46" s="28"/>
      <c r="F46" s="28"/>
      <c r="G46" s="28"/>
      <c r="H46" s="28"/>
      <c r="I46" s="28"/>
      <c r="J46" s="28"/>
      <c r="K46" s="28"/>
      <c r="L46" s="28"/>
      <c r="M46" s="28"/>
      <c r="N46" s="28"/>
      <c r="O46" s="28"/>
      <c r="P46" s="28"/>
      <c r="Q46" s="28"/>
      <c r="R46" s="28"/>
      <c r="S46" s="28"/>
      <c r="T46" s="28"/>
      <c r="U46" s="28"/>
      <c r="V46" s="28"/>
      <c r="W46" s="28"/>
      <c r="X46" s="28"/>
      <c r="Y46" s="28"/>
      <c r="Z46" s="28"/>
      <c r="AA46" s="28"/>
      <c r="AB46" s="16"/>
      <c r="AC46" s="16"/>
      <c r="AD46" s="16"/>
      <c r="AE46" s="28"/>
      <c r="AF46" s="16"/>
      <c r="AG46" s="28"/>
      <c r="AH46" s="16"/>
      <c r="AI46" s="28"/>
      <c r="AJ46" s="16"/>
      <c r="AK46" s="28"/>
      <c r="AL46" s="16"/>
      <c r="AM46" s="28"/>
      <c r="AN46" s="16"/>
      <c r="AO46" s="28"/>
      <c r="AP46" s="16"/>
      <c r="AQ46" s="28"/>
      <c r="AR46" s="16"/>
      <c r="AS46" s="17"/>
      <c r="AT46" s="17"/>
      <c r="AU46" s="17"/>
      <c r="AV46" s="17"/>
      <c r="AW46" s="17"/>
      <c r="AX46" s="16"/>
    </row>
    <row r="47" spans="2:50" ht="10.5" customHeight="1">
      <c r="B47" s="42"/>
      <c r="C47" s="42"/>
      <c r="D47" s="63" t="s">
        <v>352</v>
      </c>
      <c r="E47" s="28"/>
      <c r="F47" s="28"/>
      <c r="G47" s="28"/>
      <c r="H47" s="28"/>
      <c r="I47" s="28"/>
      <c r="J47" s="28"/>
      <c r="K47" s="28"/>
      <c r="L47" s="28"/>
      <c r="M47" s="28"/>
      <c r="N47" s="28"/>
      <c r="O47" s="28"/>
      <c r="P47" s="28"/>
      <c r="Q47" s="28"/>
      <c r="R47" s="28"/>
      <c r="S47" s="28"/>
      <c r="T47" s="28"/>
      <c r="U47" s="28"/>
      <c r="V47" s="28"/>
      <c r="W47" s="28"/>
      <c r="X47" s="28"/>
      <c r="Y47" s="28"/>
      <c r="Z47" s="28"/>
      <c r="AA47" s="28"/>
      <c r="AB47" s="16"/>
      <c r="AC47" s="16"/>
      <c r="AD47" s="16"/>
      <c r="AE47" s="28"/>
      <c r="AF47" s="16"/>
      <c r="AG47" s="28"/>
      <c r="AH47" s="16"/>
      <c r="AI47" s="28"/>
      <c r="AJ47" s="16"/>
      <c r="AK47" s="28"/>
      <c r="AL47" s="16"/>
      <c r="AM47" s="28"/>
      <c r="AN47" s="16"/>
      <c r="AO47" s="28"/>
      <c r="AP47" s="16"/>
      <c r="AQ47" s="28"/>
      <c r="AR47" s="16"/>
      <c r="AS47" s="17"/>
      <c r="AT47" s="17"/>
      <c r="AU47" s="17"/>
      <c r="AV47" s="17"/>
      <c r="AW47" s="17"/>
      <c r="AX47" s="63" t="s">
        <v>353</v>
      </c>
    </row>
    <row r="48" spans="2:50" ht="6.6" customHeight="1">
      <c r="B48" s="42"/>
      <c r="C48" s="42"/>
      <c r="D48" s="16"/>
      <c r="E48" s="28"/>
      <c r="F48" s="28"/>
      <c r="G48" s="28"/>
      <c r="H48" s="28"/>
      <c r="I48" s="28"/>
      <c r="J48" s="28"/>
      <c r="K48" s="28"/>
      <c r="L48" s="28"/>
      <c r="M48" s="28"/>
      <c r="N48" s="28"/>
      <c r="O48" s="28"/>
      <c r="P48" s="28"/>
      <c r="Q48" s="28"/>
      <c r="R48" s="28"/>
      <c r="S48" s="28"/>
      <c r="T48" s="28"/>
      <c r="U48" s="28"/>
      <c r="V48" s="28"/>
      <c r="W48" s="28"/>
      <c r="X48" s="28"/>
      <c r="Y48" s="28"/>
      <c r="Z48" s="28"/>
      <c r="AA48" s="28"/>
      <c r="AB48" s="23"/>
      <c r="AC48" s="23"/>
      <c r="AD48" s="23"/>
      <c r="AE48" s="28"/>
      <c r="AF48" s="23"/>
      <c r="AG48" s="28"/>
      <c r="AH48" s="23"/>
      <c r="AI48" s="28"/>
      <c r="AJ48" s="23"/>
      <c r="AK48" s="28"/>
      <c r="AL48" s="23"/>
      <c r="AM48" s="28"/>
      <c r="AN48" s="23"/>
      <c r="AO48" s="28"/>
      <c r="AP48" s="23"/>
      <c r="AQ48" s="28"/>
      <c r="AR48" s="23"/>
      <c r="AS48" s="17"/>
      <c r="AT48" s="17"/>
      <c r="AU48" s="17"/>
      <c r="AV48" s="17"/>
      <c r="AW48" s="17"/>
      <c r="AX48" s="16"/>
    </row>
    <row r="49" spans="2:50" ht="10.5" customHeight="1">
      <c r="C49" s="42"/>
      <c r="D49" s="63" t="s">
        <v>488</v>
      </c>
      <c r="E49" s="28"/>
      <c r="F49" s="28"/>
      <c r="G49" s="28"/>
      <c r="H49" s="28"/>
      <c r="I49" s="28"/>
      <c r="J49" s="28"/>
      <c r="K49" s="28"/>
      <c r="L49" s="28"/>
      <c r="M49" s="28"/>
      <c r="N49" s="28"/>
      <c r="O49" s="28"/>
      <c r="P49" s="28"/>
      <c r="Q49" s="28"/>
      <c r="R49" s="28"/>
      <c r="S49" s="28"/>
      <c r="T49" s="28"/>
      <c r="U49" s="28"/>
      <c r="V49" s="28"/>
      <c r="W49" s="28"/>
      <c r="X49" s="28"/>
      <c r="Y49" s="28"/>
      <c r="Z49" s="28"/>
      <c r="AA49" s="28"/>
      <c r="AB49" s="23"/>
      <c r="AC49" s="23"/>
      <c r="AD49" s="23"/>
      <c r="AE49" s="28"/>
      <c r="AF49" s="23"/>
      <c r="AG49" s="28"/>
      <c r="AH49" s="23"/>
      <c r="AI49" s="28"/>
      <c r="AJ49" s="23"/>
      <c r="AK49" s="28"/>
      <c r="AL49" s="23"/>
      <c r="AM49" s="28"/>
      <c r="AN49" s="23"/>
      <c r="AO49" s="28"/>
      <c r="AP49" s="23"/>
      <c r="AQ49" s="28"/>
      <c r="AR49" s="23"/>
      <c r="AS49" s="17"/>
      <c r="AT49" s="17"/>
      <c r="AU49" s="17"/>
      <c r="AV49" s="17"/>
      <c r="AW49" s="17"/>
      <c r="AX49" s="63" t="s">
        <v>335</v>
      </c>
    </row>
    <row r="50" spans="2:50" ht="10.5" customHeight="1">
      <c r="B50" s="42">
        <v>25</v>
      </c>
      <c r="C50" s="42"/>
      <c r="D50" s="16" t="s">
        <v>336</v>
      </c>
      <c r="E50" s="28">
        <v>1379</v>
      </c>
      <c r="F50" s="28"/>
      <c r="G50" s="28">
        <v>1194</v>
      </c>
      <c r="H50" s="28"/>
      <c r="I50" s="28">
        <v>1474</v>
      </c>
      <c r="J50" s="28"/>
      <c r="K50" s="28">
        <v>1466</v>
      </c>
      <c r="L50" s="28"/>
      <c r="M50" s="28">
        <v>1417</v>
      </c>
      <c r="N50" s="28"/>
      <c r="O50" s="28">
        <v>1439</v>
      </c>
      <c r="P50" s="28"/>
      <c r="Q50" s="28">
        <v>1408</v>
      </c>
      <c r="R50" s="28"/>
      <c r="S50" s="28">
        <v>1665</v>
      </c>
      <c r="T50" s="28"/>
      <c r="U50" s="28">
        <v>1314</v>
      </c>
      <c r="V50" s="28"/>
      <c r="W50" s="28">
        <v>1258</v>
      </c>
      <c r="X50" s="28"/>
      <c r="Y50" s="28">
        <v>1366</v>
      </c>
      <c r="Z50" s="28"/>
      <c r="AA50" s="17" t="s">
        <v>78</v>
      </c>
      <c r="AB50" s="23"/>
      <c r="AC50" s="17" t="s">
        <v>78</v>
      </c>
      <c r="AD50" s="23"/>
      <c r="AE50" s="17" t="s">
        <v>78</v>
      </c>
      <c r="AF50" s="23"/>
      <c r="AG50" s="17" t="s">
        <v>78</v>
      </c>
      <c r="AH50" s="23"/>
      <c r="AI50" s="17" t="s">
        <v>78</v>
      </c>
      <c r="AJ50" s="23"/>
      <c r="AK50" s="17" t="s">
        <v>78</v>
      </c>
      <c r="AL50" s="23"/>
      <c r="AM50" s="17" t="s">
        <v>78</v>
      </c>
      <c r="AN50" s="23"/>
      <c r="AO50" s="17" t="s">
        <v>78</v>
      </c>
      <c r="AP50" s="23"/>
      <c r="AQ50" s="17" t="s">
        <v>78</v>
      </c>
      <c r="AR50" s="23"/>
      <c r="AS50" s="17" t="s">
        <v>78</v>
      </c>
      <c r="AT50" s="17"/>
      <c r="AU50" s="17" t="s">
        <v>78</v>
      </c>
      <c r="AV50" s="17"/>
      <c r="AW50" s="17"/>
      <c r="AX50" s="16" t="s">
        <v>337</v>
      </c>
    </row>
    <row r="51" spans="2:50" ht="10.5" customHeight="1">
      <c r="B51" s="42">
        <v>26</v>
      </c>
      <c r="C51" s="42"/>
      <c r="D51" s="16" t="s">
        <v>338</v>
      </c>
      <c r="E51" s="28">
        <v>15</v>
      </c>
      <c r="F51" s="28"/>
      <c r="G51" s="28">
        <v>15</v>
      </c>
      <c r="H51" s="28"/>
      <c r="I51" s="28">
        <v>16</v>
      </c>
      <c r="J51" s="28"/>
      <c r="K51" s="28">
        <v>16</v>
      </c>
      <c r="L51" s="28"/>
      <c r="M51" s="28">
        <v>36</v>
      </c>
      <c r="N51" s="28"/>
      <c r="O51" s="28">
        <v>51</v>
      </c>
      <c r="P51" s="28"/>
      <c r="Q51" s="28">
        <v>50</v>
      </c>
      <c r="R51" s="28"/>
      <c r="S51" s="28">
        <v>50</v>
      </c>
      <c r="T51" s="28"/>
      <c r="U51" s="28">
        <v>50</v>
      </c>
      <c r="V51" s="28"/>
      <c r="W51" s="28">
        <v>70</v>
      </c>
      <c r="X51" s="28"/>
      <c r="Y51" s="28">
        <v>71</v>
      </c>
      <c r="Z51" s="28"/>
      <c r="AA51" s="17" t="s">
        <v>78</v>
      </c>
      <c r="AB51" s="23"/>
      <c r="AC51" s="17" t="s">
        <v>78</v>
      </c>
      <c r="AD51" s="23"/>
      <c r="AE51" s="17" t="s">
        <v>78</v>
      </c>
      <c r="AF51" s="23"/>
      <c r="AG51" s="17" t="s">
        <v>78</v>
      </c>
      <c r="AH51" s="23"/>
      <c r="AI51" s="17" t="s">
        <v>78</v>
      </c>
      <c r="AJ51" s="23"/>
      <c r="AK51" s="17" t="s">
        <v>78</v>
      </c>
      <c r="AL51" s="23"/>
      <c r="AM51" s="17" t="s">
        <v>78</v>
      </c>
      <c r="AN51" s="23"/>
      <c r="AO51" s="17" t="s">
        <v>78</v>
      </c>
      <c r="AP51" s="23"/>
      <c r="AQ51" s="17" t="s">
        <v>78</v>
      </c>
      <c r="AR51" s="23"/>
      <c r="AS51" s="17" t="s">
        <v>78</v>
      </c>
      <c r="AT51" s="17"/>
      <c r="AU51" s="17" t="s">
        <v>78</v>
      </c>
      <c r="AV51" s="17"/>
      <c r="AW51" s="17"/>
      <c r="AX51" s="16" t="s">
        <v>339</v>
      </c>
    </row>
    <row r="52" spans="2:50" ht="10.5" customHeight="1">
      <c r="B52" s="42">
        <v>27</v>
      </c>
      <c r="C52" s="42"/>
      <c r="D52" s="16" t="s">
        <v>340</v>
      </c>
      <c r="E52" s="28">
        <v>3971</v>
      </c>
      <c r="F52" s="28"/>
      <c r="G52" s="28">
        <v>3877</v>
      </c>
      <c r="H52" s="28"/>
      <c r="I52" s="28">
        <v>4006</v>
      </c>
      <c r="J52" s="28"/>
      <c r="K52" s="28">
        <v>4044</v>
      </c>
      <c r="L52" s="28"/>
      <c r="M52" s="28">
        <v>4048</v>
      </c>
      <c r="N52" s="28"/>
      <c r="O52" s="28">
        <v>4112</v>
      </c>
      <c r="P52" s="28"/>
      <c r="Q52" s="28">
        <v>3952</v>
      </c>
      <c r="R52" s="28"/>
      <c r="S52" s="28">
        <v>3957</v>
      </c>
      <c r="T52" s="28"/>
      <c r="U52" s="28">
        <v>4180</v>
      </c>
      <c r="V52" s="28"/>
      <c r="W52" s="28">
        <v>4420</v>
      </c>
      <c r="X52" s="28"/>
      <c r="Y52" s="28">
        <v>4836</v>
      </c>
      <c r="Z52" s="28"/>
      <c r="AA52" s="17" t="s">
        <v>78</v>
      </c>
      <c r="AB52" s="23"/>
      <c r="AC52" s="17" t="s">
        <v>78</v>
      </c>
      <c r="AD52" s="23"/>
      <c r="AE52" s="17" t="s">
        <v>78</v>
      </c>
      <c r="AF52" s="23"/>
      <c r="AG52" s="17" t="s">
        <v>78</v>
      </c>
      <c r="AH52" s="23"/>
      <c r="AI52" s="17" t="s">
        <v>78</v>
      </c>
      <c r="AJ52" s="23"/>
      <c r="AK52" s="17" t="s">
        <v>78</v>
      </c>
      <c r="AL52" s="23"/>
      <c r="AM52" s="17" t="s">
        <v>78</v>
      </c>
      <c r="AN52" s="23"/>
      <c r="AO52" s="17" t="s">
        <v>78</v>
      </c>
      <c r="AP52" s="23"/>
      <c r="AQ52" s="17" t="s">
        <v>78</v>
      </c>
      <c r="AR52" s="23"/>
      <c r="AS52" s="17" t="s">
        <v>78</v>
      </c>
      <c r="AT52" s="17"/>
      <c r="AU52" s="17" t="s">
        <v>78</v>
      </c>
      <c r="AV52" s="17"/>
      <c r="AW52" s="17"/>
      <c r="AX52" s="16" t="s">
        <v>341</v>
      </c>
    </row>
    <row r="53" spans="2:50" ht="10.5" customHeight="1">
      <c r="B53" s="42">
        <v>28</v>
      </c>
      <c r="C53" s="42"/>
      <c r="D53" s="16" t="s">
        <v>344</v>
      </c>
      <c r="E53" s="28">
        <v>1040</v>
      </c>
      <c r="F53" s="28"/>
      <c r="G53" s="28">
        <v>1129</v>
      </c>
      <c r="H53" s="28"/>
      <c r="I53" s="28">
        <v>993</v>
      </c>
      <c r="J53" s="28"/>
      <c r="K53" s="28">
        <v>879</v>
      </c>
      <c r="L53" s="28"/>
      <c r="M53" s="28">
        <v>770</v>
      </c>
      <c r="N53" s="28"/>
      <c r="O53" s="28">
        <v>874</v>
      </c>
      <c r="P53" s="28"/>
      <c r="Q53" s="28">
        <v>884</v>
      </c>
      <c r="R53" s="28"/>
      <c r="S53" s="28">
        <v>689</v>
      </c>
      <c r="T53" s="28"/>
      <c r="U53" s="28">
        <v>709</v>
      </c>
      <c r="V53" s="28"/>
      <c r="W53" s="28">
        <v>705</v>
      </c>
      <c r="X53" s="28"/>
      <c r="Y53" s="28">
        <v>611</v>
      </c>
      <c r="Z53" s="28"/>
      <c r="AA53" s="17" t="s">
        <v>78</v>
      </c>
      <c r="AB53" s="23"/>
      <c r="AC53" s="17" t="s">
        <v>78</v>
      </c>
      <c r="AD53" s="23"/>
      <c r="AE53" s="17" t="s">
        <v>78</v>
      </c>
      <c r="AF53" s="23"/>
      <c r="AG53" s="17" t="s">
        <v>78</v>
      </c>
      <c r="AH53" s="23"/>
      <c r="AI53" s="17" t="s">
        <v>78</v>
      </c>
      <c r="AJ53" s="23"/>
      <c r="AK53" s="17" t="s">
        <v>78</v>
      </c>
      <c r="AL53" s="23"/>
      <c r="AM53" s="17" t="s">
        <v>78</v>
      </c>
      <c r="AN53" s="23"/>
      <c r="AO53" s="17" t="s">
        <v>78</v>
      </c>
      <c r="AP53" s="23"/>
      <c r="AQ53" s="17" t="s">
        <v>78</v>
      </c>
      <c r="AR53" s="23"/>
      <c r="AS53" s="17" t="s">
        <v>78</v>
      </c>
      <c r="AT53" s="17"/>
      <c r="AU53" s="17" t="s">
        <v>78</v>
      </c>
      <c r="AV53" s="17"/>
      <c r="AW53" s="17"/>
      <c r="AX53" s="16" t="s">
        <v>345</v>
      </c>
    </row>
    <row r="54" spans="2:50" ht="10.5" customHeight="1">
      <c r="B54" s="42">
        <v>29</v>
      </c>
      <c r="C54" s="42"/>
      <c r="D54" s="18" t="s">
        <v>68</v>
      </c>
      <c r="E54" s="65">
        <v>6405</v>
      </c>
      <c r="F54" s="65"/>
      <c r="G54" s="65">
        <v>6215</v>
      </c>
      <c r="H54" s="65"/>
      <c r="I54" s="65">
        <v>6489</v>
      </c>
      <c r="J54" s="65"/>
      <c r="K54" s="65">
        <v>6405</v>
      </c>
      <c r="L54" s="65"/>
      <c r="M54" s="65">
        <v>6271</v>
      </c>
      <c r="N54" s="65"/>
      <c r="O54" s="65">
        <v>6476</v>
      </c>
      <c r="P54" s="65"/>
      <c r="Q54" s="65">
        <v>6294</v>
      </c>
      <c r="R54" s="65"/>
      <c r="S54" s="65">
        <v>6361</v>
      </c>
      <c r="T54" s="65"/>
      <c r="U54" s="65">
        <v>6253</v>
      </c>
      <c r="V54" s="65"/>
      <c r="W54" s="65">
        <v>6453</v>
      </c>
      <c r="X54" s="65"/>
      <c r="Y54" s="65">
        <v>6884</v>
      </c>
      <c r="Z54" s="65"/>
      <c r="AA54" s="133" t="s">
        <v>78</v>
      </c>
      <c r="AB54" s="23"/>
      <c r="AC54" s="133" t="s">
        <v>78</v>
      </c>
      <c r="AD54" s="23"/>
      <c r="AE54" s="133" t="s">
        <v>78</v>
      </c>
      <c r="AF54" s="23"/>
      <c r="AG54" s="133" t="s">
        <v>78</v>
      </c>
      <c r="AH54" s="23"/>
      <c r="AI54" s="133" t="s">
        <v>78</v>
      </c>
      <c r="AJ54" s="23"/>
      <c r="AK54" s="133" t="s">
        <v>78</v>
      </c>
      <c r="AL54" s="23"/>
      <c r="AM54" s="133" t="s">
        <v>78</v>
      </c>
      <c r="AN54" s="23"/>
      <c r="AO54" s="133" t="s">
        <v>78</v>
      </c>
      <c r="AP54" s="23"/>
      <c r="AQ54" s="133" t="s">
        <v>78</v>
      </c>
      <c r="AR54" s="23"/>
      <c r="AS54" s="133" t="s">
        <v>78</v>
      </c>
      <c r="AT54" s="17"/>
      <c r="AU54" s="133" t="s">
        <v>78</v>
      </c>
      <c r="AV54" s="17"/>
      <c r="AW54" s="17"/>
      <c r="AX54" s="18" t="s">
        <v>84</v>
      </c>
    </row>
    <row r="55" spans="2:50" ht="6.6" customHeight="1">
      <c r="C55" s="42"/>
      <c r="D55" s="16"/>
      <c r="E55" s="28"/>
      <c r="F55" s="28"/>
      <c r="G55" s="28"/>
      <c r="H55" s="28"/>
      <c r="I55" s="28"/>
      <c r="J55" s="28"/>
      <c r="K55" s="28"/>
      <c r="L55" s="28"/>
      <c r="M55" s="28"/>
      <c r="N55" s="28"/>
      <c r="O55" s="28"/>
      <c r="P55" s="28"/>
      <c r="Q55" s="28"/>
      <c r="R55" s="28"/>
      <c r="S55" s="28"/>
      <c r="T55" s="28"/>
      <c r="U55" s="28"/>
      <c r="V55" s="28"/>
      <c r="W55" s="28"/>
      <c r="X55" s="28"/>
      <c r="Y55" s="28"/>
      <c r="Z55" s="28"/>
      <c r="AA55" s="28"/>
      <c r="AB55" s="23"/>
      <c r="AC55" s="28"/>
      <c r="AD55" s="23"/>
      <c r="AE55" s="28"/>
      <c r="AF55" s="23"/>
      <c r="AG55" s="28"/>
      <c r="AH55" s="23"/>
      <c r="AI55" s="28"/>
      <c r="AJ55" s="23"/>
      <c r="AK55" s="28"/>
      <c r="AL55" s="23"/>
      <c r="AM55" s="28"/>
      <c r="AN55" s="23"/>
      <c r="AO55" s="28"/>
      <c r="AP55" s="23"/>
      <c r="AQ55" s="28"/>
      <c r="AR55" s="23"/>
      <c r="AS55" s="28"/>
      <c r="AT55" s="17"/>
      <c r="AU55" s="28"/>
      <c r="AV55" s="17"/>
      <c r="AW55" s="17"/>
      <c r="AX55" s="16"/>
    </row>
    <row r="56" spans="2:50" ht="10.5" customHeight="1">
      <c r="C56" s="42"/>
      <c r="D56" s="63" t="s">
        <v>346</v>
      </c>
      <c r="E56" s="28"/>
      <c r="F56" s="28"/>
      <c r="G56" s="28"/>
      <c r="H56" s="28"/>
      <c r="I56" s="28"/>
      <c r="J56" s="28"/>
      <c r="K56" s="28"/>
      <c r="L56" s="28"/>
      <c r="M56" s="28"/>
      <c r="N56" s="28"/>
      <c r="O56" s="28"/>
      <c r="P56" s="28"/>
      <c r="Q56" s="28"/>
      <c r="R56" s="28"/>
      <c r="S56" s="28"/>
      <c r="T56" s="28"/>
      <c r="U56" s="28"/>
      <c r="V56" s="28"/>
      <c r="W56" s="28"/>
      <c r="X56" s="28"/>
      <c r="Y56" s="28"/>
      <c r="Z56" s="28"/>
      <c r="AA56" s="28"/>
      <c r="AB56" s="23"/>
      <c r="AC56" s="28"/>
      <c r="AD56" s="23"/>
      <c r="AE56" s="28"/>
      <c r="AF56" s="23"/>
      <c r="AG56" s="28"/>
      <c r="AH56" s="23"/>
      <c r="AI56" s="28"/>
      <c r="AJ56" s="23"/>
      <c r="AK56" s="28"/>
      <c r="AL56" s="23"/>
      <c r="AM56" s="28"/>
      <c r="AN56" s="23"/>
      <c r="AO56" s="28"/>
      <c r="AP56" s="23"/>
      <c r="AQ56" s="28"/>
      <c r="AR56" s="23"/>
      <c r="AS56" s="28"/>
      <c r="AT56" s="17"/>
      <c r="AU56" s="28"/>
      <c r="AV56" s="17"/>
      <c r="AW56" s="17"/>
      <c r="AX56" s="63" t="s">
        <v>347</v>
      </c>
    </row>
    <row r="57" spans="2:50" ht="10.5" customHeight="1">
      <c r="B57" s="42">
        <v>30</v>
      </c>
      <c r="C57" s="42"/>
      <c r="D57" s="16" t="s">
        <v>336</v>
      </c>
      <c r="E57" s="28">
        <v>60515</v>
      </c>
      <c r="F57" s="28"/>
      <c r="G57" s="28">
        <v>62881</v>
      </c>
      <c r="H57" s="28"/>
      <c r="I57" s="28">
        <v>76483</v>
      </c>
      <c r="J57" s="28"/>
      <c r="K57" s="28">
        <v>76006</v>
      </c>
      <c r="L57" s="28"/>
      <c r="M57" s="28">
        <v>72023</v>
      </c>
      <c r="N57" s="28"/>
      <c r="O57" s="28">
        <v>73490</v>
      </c>
      <c r="P57" s="28"/>
      <c r="Q57" s="28">
        <v>72629</v>
      </c>
      <c r="R57" s="28"/>
      <c r="S57" s="28">
        <v>92852</v>
      </c>
      <c r="T57" s="28"/>
      <c r="U57" s="28">
        <v>72246</v>
      </c>
      <c r="V57" s="28"/>
      <c r="W57" s="28">
        <v>66806</v>
      </c>
      <c r="X57" s="28"/>
      <c r="Y57" s="28">
        <v>67684</v>
      </c>
      <c r="Z57" s="28"/>
      <c r="AA57" s="17" t="s">
        <v>78</v>
      </c>
      <c r="AB57" s="23"/>
      <c r="AC57" s="17" t="s">
        <v>78</v>
      </c>
      <c r="AD57" s="23"/>
      <c r="AE57" s="17" t="s">
        <v>78</v>
      </c>
      <c r="AF57" s="23"/>
      <c r="AG57" s="17" t="s">
        <v>78</v>
      </c>
      <c r="AH57" s="23"/>
      <c r="AI57" s="17" t="s">
        <v>78</v>
      </c>
      <c r="AJ57" s="23"/>
      <c r="AK57" s="17" t="s">
        <v>78</v>
      </c>
      <c r="AL57" s="23"/>
      <c r="AM57" s="17" t="s">
        <v>78</v>
      </c>
      <c r="AN57" s="23"/>
      <c r="AO57" s="17" t="s">
        <v>78</v>
      </c>
      <c r="AP57" s="23"/>
      <c r="AQ57" s="17" t="s">
        <v>78</v>
      </c>
      <c r="AR57" s="23"/>
      <c r="AS57" s="17" t="s">
        <v>78</v>
      </c>
      <c r="AT57" s="17"/>
      <c r="AU57" s="17" t="s">
        <v>78</v>
      </c>
      <c r="AV57" s="17"/>
      <c r="AW57" s="17"/>
      <c r="AX57" s="16" t="s">
        <v>337</v>
      </c>
    </row>
    <row r="58" spans="2:50" ht="10.5" customHeight="1">
      <c r="B58" s="42">
        <v>31</v>
      </c>
      <c r="C58" s="42"/>
      <c r="D58" s="16" t="s">
        <v>338</v>
      </c>
      <c r="E58" s="28">
        <v>805</v>
      </c>
      <c r="F58" s="28"/>
      <c r="G58" s="28">
        <v>805</v>
      </c>
      <c r="H58" s="28"/>
      <c r="I58" s="28">
        <v>835</v>
      </c>
      <c r="J58" s="28"/>
      <c r="K58" s="28">
        <v>835</v>
      </c>
      <c r="L58" s="28"/>
      <c r="M58" s="28">
        <v>1879</v>
      </c>
      <c r="N58" s="28"/>
      <c r="O58" s="28">
        <v>2658</v>
      </c>
      <c r="P58" s="28"/>
      <c r="Q58" s="28">
        <v>2592</v>
      </c>
      <c r="R58" s="28"/>
      <c r="S58" s="28">
        <v>2581</v>
      </c>
      <c r="T58" s="28"/>
      <c r="U58" s="28">
        <v>2581</v>
      </c>
      <c r="V58" s="28"/>
      <c r="W58" s="28">
        <v>3723</v>
      </c>
      <c r="X58" s="28"/>
      <c r="Y58" s="28">
        <v>3796</v>
      </c>
      <c r="Z58" s="28"/>
      <c r="AA58" s="17" t="s">
        <v>78</v>
      </c>
      <c r="AB58" s="23"/>
      <c r="AC58" s="17" t="s">
        <v>78</v>
      </c>
      <c r="AD58" s="23"/>
      <c r="AE58" s="17" t="s">
        <v>78</v>
      </c>
      <c r="AF58" s="23"/>
      <c r="AG58" s="17" t="s">
        <v>78</v>
      </c>
      <c r="AH58" s="23"/>
      <c r="AI58" s="17" t="s">
        <v>78</v>
      </c>
      <c r="AJ58" s="23"/>
      <c r="AK58" s="17" t="s">
        <v>78</v>
      </c>
      <c r="AL58" s="23"/>
      <c r="AM58" s="17" t="s">
        <v>78</v>
      </c>
      <c r="AN58" s="23"/>
      <c r="AO58" s="17" t="s">
        <v>78</v>
      </c>
      <c r="AP58" s="23"/>
      <c r="AQ58" s="17" t="s">
        <v>78</v>
      </c>
      <c r="AR58" s="23"/>
      <c r="AS58" s="17" t="s">
        <v>78</v>
      </c>
      <c r="AT58" s="17"/>
      <c r="AU58" s="17" t="s">
        <v>78</v>
      </c>
      <c r="AV58" s="17"/>
      <c r="AW58" s="17"/>
      <c r="AX58" s="16" t="s">
        <v>339</v>
      </c>
    </row>
    <row r="59" spans="2:50" ht="10.5" customHeight="1">
      <c r="B59" s="42">
        <v>32</v>
      </c>
      <c r="C59" s="42"/>
      <c r="D59" s="16" t="s">
        <v>340</v>
      </c>
      <c r="E59" s="28">
        <v>185839</v>
      </c>
      <c r="F59" s="28"/>
      <c r="G59" s="28">
        <v>212322</v>
      </c>
      <c r="H59" s="28"/>
      <c r="I59" s="28">
        <v>212926</v>
      </c>
      <c r="J59" s="28"/>
      <c r="K59" s="28">
        <v>214780</v>
      </c>
      <c r="L59" s="28"/>
      <c r="M59" s="28">
        <v>221242</v>
      </c>
      <c r="N59" s="28"/>
      <c r="O59" s="28">
        <v>181603</v>
      </c>
      <c r="P59" s="28"/>
      <c r="Q59" s="28">
        <v>214163</v>
      </c>
      <c r="R59" s="28"/>
      <c r="S59" s="28">
        <v>222784</v>
      </c>
      <c r="T59" s="28"/>
      <c r="U59" s="28">
        <v>230352</v>
      </c>
      <c r="V59" s="28"/>
      <c r="W59" s="28">
        <v>243123</v>
      </c>
      <c r="X59" s="28"/>
      <c r="Y59" s="28">
        <v>290047</v>
      </c>
      <c r="Z59" s="28"/>
      <c r="AA59" s="17" t="s">
        <v>78</v>
      </c>
      <c r="AB59" s="23"/>
      <c r="AC59" s="17" t="s">
        <v>78</v>
      </c>
      <c r="AD59" s="23"/>
      <c r="AE59" s="17" t="s">
        <v>78</v>
      </c>
      <c r="AF59" s="23"/>
      <c r="AG59" s="17" t="s">
        <v>78</v>
      </c>
      <c r="AH59" s="23"/>
      <c r="AI59" s="17" t="s">
        <v>78</v>
      </c>
      <c r="AJ59" s="23"/>
      <c r="AK59" s="17" t="s">
        <v>78</v>
      </c>
      <c r="AL59" s="23"/>
      <c r="AM59" s="17" t="s">
        <v>78</v>
      </c>
      <c r="AN59" s="23"/>
      <c r="AO59" s="17" t="s">
        <v>78</v>
      </c>
      <c r="AP59" s="23"/>
      <c r="AQ59" s="17" t="s">
        <v>78</v>
      </c>
      <c r="AR59" s="23"/>
      <c r="AS59" s="17" t="s">
        <v>78</v>
      </c>
      <c r="AT59" s="17"/>
      <c r="AU59" s="17" t="s">
        <v>78</v>
      </c>
      <c r="AV59" s="17"/>
      <c r="AW59" s="17"/>
      <c r="AX59" s="16" t="s">
        <v>341</v>
      </c>
    </row>
    <row r="60" spans="2:50" ht="10.5" customHeight="1">
      <c r="B60" s="42">
        <v>33</v>
      </c>
      <c r="C60" s="42"/>
      <c r="D60" s="16" t="s">
        <v>344</v>
      </c>
      <c r="E60" s="28">
        <v>39485</v>
      </c>
      <c r="F60" s="28"/>
      <c r="G60" s="28">
        <v>51040</v>
      </c>
      <c r="H60" s="28"/>
      <c r="I60" s="28">
        <v>42852</v>
      </c>
      <c r="J60" s="28"/>
      <c r="K60" s="28">
        <v>34177</v>
      </c>
      <c r="L60" s="28"/>
      <c r="M60" s="28">
        <v>29743</v>
      </c>
      <c r="N60" s="28"/>
      <c r="O60" s="28">
        <v>31358</v>
      </c>
      <c r="P60" s="28"/>
      <c r="Q60" s="28">
        <v>31932</v>
      </c>
      <c r="R60" s="28"/>
      <c r="S60" s="28">
        <v>29922</v>
      </c>
      <c r="T60" s="28"/>
      <c r="U60" s="28">
        <v>31055</v>
      </c>
      <c r="V60" s="28"/>
      <c r="W60" s="28">
        <v>29890</v>
      </c>
      <c r="X60" s="28"/>
      <c r="Y60" s="28">
        <v>24371</v>
      </c>
      <c r="Z60" s="28"/>
      <c r="AA60" s="17" t="s">
        <v>78</v>
      </c>
      <c r="AB60" s="23"/>
      <c r="AC60" s="17" t="s">
        <v>78</v>
      </c>
      <c r="AD60" s="23"/>
      <c r="AE60" s="17" t="s">
        <v>78</v>
      </c>
      <c r="AF60" s="23"/>
      <c r="AG60" s="17" t="s">
        <v>78</v>
      </c>
      <c r="AH60" s="23"/>
      <c r="AI60" s="17" t="s">
        <v>78</v>
      </c>
      <c r="AJ60" s="23"/>
      <c r="AK60" s="17" t="s">
        <v>78</v>
      </c>
      <c r="AL60" s="23"/>
      <c r="AM60" s="17" t="s">
        <v>78</v>
      </c>
      <c r="AN60" s="23"/>
      <c r="AO60" s="17" t="s">
        <v>78</v>
      </c>
      <c r="AP60" s="23"/>
      <c r="AQ60" s="17" t="s">
        <v>78</v>
      </c>
      <c r="AR60" s="23"/>
      <c r="AS60" s="17" t="s">
        <v>78</v>
      </c>
      <c r="AT60" s="17"/>
      <c r="AU60" s="17" t="s">
        <v>78</v>
      </c>
      <c r="AV60" s="17"/>
      <c r="AW60" s="17"/>
      <c r="AX60" s="16" t="s">
        <v>345</v>
      </c>
    </row>
    <row r="61" spans="2:50" ht="10.5" customHeight="1">
      <c r="B61" s="42">
        <v>34</v>
      </c>
      <c r="C61" s="42"/>
      <c r="D61" s="18" t="s">
        <v>68</v>
      </c>
      <c r="E61" s="65">
        <v>286644</v>
      </c>
      <c r="F61" s="65"/>
      <c r="G61" s="65">
        <v>327048</v>
      </c>
      <c r="H61" s="65"/>
      <c r="I61" s="65">
        <v>333096</v>
      </c>
      <c r="J61" s="65"/>
      <c r="K61" s="65">
        <v>325798</v>
      </c>
      <c r="L61" s="65"/>
      <c r="M61" s="65">
        <v>324887</v>
      </c>
      <c r="N61" s="65"/>
      <c r="O61" s="65">
        <v>289109</v>
      </c>
      <c r="P61" s="65"/>
      <c r="Q61" s="65">
        <v>321316</v>
      </c>
      <c r="R61" s="65"/>
      <c r="S61" s="65">
        <v>348139</v>
      </c>
      <c r="T61" s="65"/>
      <c r="U61" s="65">
        <v>336234</v>
      </c>
      <c r="V61" s="65"/>
      <c r="W61" s="65">
        <v>343542</v>
      </c>
      <c r="X61" s="65"/>
      <c r="Y61" s="65">
        <v>385898</v>
      </c>
      <c r="Z61" s="65"/>
      <c r="AA61" s="133" t="s">
        <v>78</v>
      </c>
      <c r="AB61" s="23"/>
      <c r="AC61" s="133" t="s">
        <v>78</v>
      </c>
      <c r="AD61" s="23"/>
      <c r="AE61" s="133" t="s">
        <v>78</v>
      </c>
      <c r="AF61" s="23"/>
      <c r="AG61" s="133" t="s">
        <v>78</v>
      </c>
      <c r="AH61" s="23"/>
      <c r="AI61" s="133" t="s">
        <v>78</v>
      </c>
      <c r="AJ61" s="23"/>
      <c r="AK61" s="133" t="s">
        <v>78</v>
      </c>
      <c r="AL61" s="23"/>
      <c r="AM61" s="133" t="s">
        <v>78</v>
      </c>
      <c r="AN61" s="23"/>
      <c r="AO61" s="133" t="s">
        <v>78</v>
      </c>
      <c r="AP61" s="23"/>
      <c r="AQ61" s="133" t="s">
        <v>78</v>
      </c>
      <c r="AR61" s="23"/>
      <c r="AS61" s="133" t="s">
        <v>78</v>
      </c>
      <c r="AT61" s="17"/>
      <c r="AU61" s="133" t="s">
        <v>78</v>
      </c>
      <c r="AV61" s="17"/>
      <c r="AW61" s="17"/>
      <c r="AX61" s="18" t="s">
        <v>84</v>
      </c>
    </row>
    <row r="62" spans="2:50" ht="6" customHeight="1">
      <c r="B62" s="80"/>
      <c r="C62" s="80"/>
      <c r="D62" s="139"/>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51"/>
      <c r="AC62" s="51"/>
      <c r="AD62" s="51"/>
      <c r="AE62" s="140"/>
      <c r="AF62" s="51"/>
      <c r="AG62" s="140"/>
      <c r="AH62" s="51"/>
      <c r="AI62" s="140"/>
      <c r="AJ62" s="51"/>
      <c r="AK62" s="140"/>
      <c r="AL62" s="51"/>
      <c r="AM62" s="140"/>
      <c r="AN62" s="51"/>
      <c r="AO62" s="140"/>
      <c r="AP62" s="51"/>
      <c r="AQ62" s="140"/>
      <c r="AR62" s="51"/>
      <c r="AS62" s="14"/>
      <c r="AT62" s="14"/>
      <c r="AU62" s="14"/>
      <c r="AV62" s="14"/>
      <c r="AW62" s="14"/>
      <c r="AX62" s="139"/>
    </row>
    <row r="63" spans="2:50" ht="6" customHeight="1">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row>
    <row r="64" spans="2:50" ht="7.5" customHeight="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row>
  </sheetData>
  <mergeCells count="1">
    <mergeCell ref="B5:D5"/>
  </mergeCells>
  <printOptions horizontalCentered="1"/>
  <pageMargins left="0" right="0" top="0" bottom="0" header="0" footer="0"/>
  <pageSetup paperSize="9" scale="93"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Z75"/>
  <sheetViews>
    <sheetView zoomScaleNormal="100" workbookViewId="0"/>
  </sheetViews>
  <sheetFormatPr defaultColWidth="9.109375" defaultRowHeight="13.8" outlineLevelCol="1"/>
  <cols>
    <col min="1" max="1" width="0.5546875" style="11" customWidth="1"/>
    <col min="2" max="2" width="2.6640625" style="11" customWidth="1"/>
    <col min="3" max="3" width="0.88671875" style="11" customWidth="1"/>
    <col min="4" max="4" width="29.5546875" style="11" customWidth="1"/>
    <col min="5" max="5" width="6.5546875" style="11" hidden="1" customWidth="1" outlineLevel="1"/>
    <col min="6" max="6" width="1.33203125" style="11" hidden="1" customWidth="1" outlineLevel="1"/>
    <col min="7" max="7" width="6.5546875" style="11" hidden="1" customWidth="1" outlineLevel="1"/>
    <col min="8" max="8" width="1.33203125" style="11" hidden="1" customWidth="1" outlineLevel="1"/>
    <col min="9" max="9" width="6.5546875" style="11" hidden="1" customWidth="1" outlineLevel="1"/>
    <col min="10" max="10" width="1.33203125" style="11" hidden="1" customWidth="1" outlineLevel="1"/>
    <col min="11" max="11" width="6.5546875" style="11" hidden="1" customWidth="1" outlineLevel="1"/>
    <col min="12" max="12" width="1.33203125" style="11" hidden="1" customWidth="1" outlineLevel="1"/>
    <col min="13" max="13" width="6.5546875" style="11" hidden="1" customWidth="1" outlineLevel="1"/>
    <col min="14" max="14" width="1.33203125" style="11" hidden="1" customWidth="1" outlineLevel="1"/>
    <col min="15" max="15" width="6.5546875" style="11" hidden="1" customWidth="1" outlineLevel="1"/>
    <col min="16" max="16" width="1.33203125" style="11" hidden="1" customWidth="1" outlineLevel="1"/>
    <col min="17" max="17" width="6.5546875" style="11" hidden="1" customWidth="1" outlineLevel="1"/>
    <col min="18" max="18" width="1.33203125" style="11" hidden="1" customWidth="1" outlineLevel="1"/>
    <col min="19" max="19" width="6.5546875" style="11" hidden="1" customWidth="1" outlineLevel="1"/>
    <col min="20" max="20" width="1.33203125" style="11" hidden="1" customWidth="1" outlineLevel="1"/>
    <col min="21" max="21" width="6.5546875" style="11" hidden="1" customWidth="1" outlineLevel="1"/>
    <col min="22" max="22" width="1.33203125" style="11" hidden="1" customWidth="1" outlineLevel="1"/>
    <col min="23" max="23" width="6.5546875" style="11" hidden="1" customWidth="1" outlineLevel="1"/>
    <col min="24" max="24" width="1.33203125" style="11" hidden="1" customWidth="1" outlineLevel="1"/>
    <col min="25" max="25" width="6.5546875" style="11" hidden="1" customWidth="1" outlineLevel="1"/>
    <col min="26" max="26" width="1.33203125" style="11" hidden="1" customWidth="1" outlineLevel="1"/>
    <col min="27" max="27" width="6.5546875" style="11" hidden="1" customWidth="1" outlineLevel="1"/>
    <col min="28" max="28" width="1.33203125" style="11" hidden="1" customWidth="1" outlineLevel="1"/>
    <col min="29" max="29" width="6.5546875" style="11" hidden="1" customWidth="1" outlineLevel="1"/>
    <col min="30" max="30" width="1.33203125" style="11" hidden="1" customWidth="1" outlineLevel="1"/>
    <col min="31" max="31" width="6.5546875" style="11" hidden="1" customWidth="1" outlineLevel="1"/>
    <col min="32" max="32" width="1.33203125" style="11" hidden="1" customWidth="1" outlineLevel="1"/>
    <col min="33" max="33" width="6.5546875" style="11" hidden="1" customWidth="1" outlineLevel="1"/>
    <col min="34" max="34" width="1.33203125" style="11" hidden="1" customWidth="1" outlineLevel="1"/>
    <col min="35" max="35" width="6.5546875" style="11" hidden="1" customWidth="1" outlineLevel="1"/>
    <col min="36" max="36" width="1.33203125" style="11" hidden="1" customWidth="1" outlineLevel="1"/>
    <col min="37" max="37" width="6.5546875" style="11" customWidth="1" collapsed="1"/>
    <col min="38" max="38" width="1.33203125" style="11" customWidth="1"/>
    <col min="39" max="39" width="6.5546875" style="11" customWidth="1"/>
    <col min="40" max="40" width="1.33203125" style="11" customWidth="1"/>
    <col min="41" max="41" width="6.5546875" style="11" customWidth="1"/>
    <col min="42" max="42" width="1.33203125" style="11" customWidth="1"/>
    <col min="43" max="43" width="6.5546875" style="11" customWidth="1"/>
    <col min="44" max="44" width="1.33203125" style="11" customWidth="1"/>
    <col min="45" max="45" width="6.5546875" style="11" bestFit="1" customWidth="1"/>
    <col min="46" max="46" width="1.88671875" style="11" customWidth="1"/>
    <col min="47" max="47" width="6.5546875" style="11" bestFit="1" customWidth="1"/>
    <col min="48" max="48" width="1.88671875" style="11" customWidth="1"/>
    <col min="49" max="49" width="0.88671875" style="11" customWidth="1"/>
    <col min="50" max="50" width="29.44140625" style="11" customWidth="1"/>
    <col min="51" max="16384" width="9.109375" style="11"/>
  </cols>
  <sheetData>
    <row r="1" spans="2:50">
      <c r="B1" s="10" t="s">
        <v>1110</v>
      </c>
    </row>
    <row r="2" spans="2:50">
      <c r="B2" s="156" t="s">
        <v>1111</v>
      </c>
    </row>
    <row r="3" spans="2:50" ht="6" customHeight="1">
      <c r="B3" s="6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row>
    <row r="4" spans="2:50" ht="6" customHeight="1"/>
    <row r="5" spans="2:50" ht="14.25" customHeight="1">
      <c r="B5" s="523" t="s">
        <v>519</v>
      </c>
      <c r="C5" s="523"/>
      <c r="D5" s="523"/>
      <c r="E5" s="281">
        <v>2000</v>
      </c>
      <c r="F5" s="404"/>
      <c r="G5" s="281">
        <v>2001</v>
      </c>
      <c r="H5" s="404"/>
      <c r="I5" s="281">
        <v>2002</v>
      </c>
      <c r="J5" s="404"/>
      <c r="K5" s="281">
        <v>2003</v>
      </c>
      <c r="L5" s="404"/>
      <c r="M5" s="281">
        <v>2004</v>
      </c>
      <c r="N5" s="404"/>
      <c r="O5" s="281">
        <v>2005</v>
      </c>
      <c r="P5" s="404"/>
      <c r="Q5" s="281">
        <v>2006</v>
      </c>
      <c r="R5" s="404"/>
      <c r="S5" s="281">
        <v>2007</v>
      </c>
      <c r="T5" s="404"/>
      <c r="U5" s="281">
        <v>2008</v>
      </c>
      <c r="V5" s="404"/>
      <c r="W5" s="281">
        <v>2009</v>
      </c>
      <c r="X5" s="404"/>
      <c r="Y5" s="281">
        <v>2010</v>
      </c>
      <c r="Z5" s="404"/>
      <c r="AA5" s="281">
        <v>2011</v>
      </c>
      <c r="AB5" s="404"/>
      <c r="AC5" s="281">
        <v>2012</v>
      </c>
      <c r="AD5" s="404"/>
      <c r="AE5" s="281">
        <v>2013</v>
      </c>
      <c r="AF5" s="404"/>
      <c r="AG5" s="281">
        <v>2014</v>
      </c>
      <c r="AH5" s="404"/>
      <c r="AI5" s="281">
        <v>2015</v>
      </c>
      <c r="AJ5" s="404"/>
      <c r="AK5" s="281">
        <v>2016</v>
      </c>
      <c r="AL5" s="404"/>
      <c r="AM5" s="281">
        <v>2017</v>
      </c>
      <c r="AN5" s="404"/>
      <c r="AO5" s="281">
        <v>2018</v>
      </c>
      <c r="AP5" s="404"/>
      <c r="AQ5" s="281">
        <v>2019</v>
      </c>
      <c r="AR5" s="404"/>
      <c r="AS5" s="281">
        <v>2020</v>
      </c>
      <c r="AT5" s="404"/>
      <c r="AU5" s="281">
        <v>2021</v>
      </c>
      <c r="AV5" s="404"/>
      <c r="AX5" s="283" t="s">
        <v>520</v>
      </c>
    </row>
    <row r="6" spans="2:50" ht="6" customHeight="1">
      <c r="B6" s="80"/>
      <c r="C6" s="80"/>
      <c r="D6" s="80"/>
      <c r="E6" s="80"/>
      <c r="F6" s="81"/>
      <c r="G6" s="80"/>
      <c r="H6" s="81"/>
      <c r="I6" s="80"/>
      <c r="J6" s="81"/>
      <c r="K6" s="80"/>
      <c r="L6" s="81"/>
      <c r="M6" s="80"/>
      <c r="N6" s="81"/>
      <c r="O6" s="80"/>
      <c r="P6" s="81"/>
      <c r="Q6" s="80"/>
      <c r="R6" s="81"/>
      <c r="S6" s="80"/>
      <c r="T6" s="81"/>
      <c r="U6" s="80"/>
      <c r="V6" s="81"/>
      <c r="W6" s="80"/>
      <c r="X6" s="81"/>
      <c r="Y6" s="80"/>
      <c r="Z6" s="81"/>
      <c r="AA6" s="80"/>
      <c r="AB6" s="81"/>
      <c r="AC6" s="81"/>
      <c r="AD6" s="81"/>
      <c r="AE6" s="80"/>
      <c r="AF6" s="81"/>
      <c r="AG6" s="80"/>
      <c r="AH6" s="81"/>
      <c r="AI6" s="80"/>
      <c r="AJ6" s="81"/>
      <c r="AK6" s="80"/>
      <c r="AL6" s="81"/>
      <c r="AM6" s="80"/>
      <c r="AN6" s="81"/>
      <c r="AO6" s="80"/>
      <c r="AP6" s="81"/>
      <c r="AQ6" s="80"/>
      <c r="AR6" s="81"/>
      <c r="AS6" s="80"/>
      <c r="AT6" s="80"/>
      <c r="AU6" s="80"/>
      <c r="AV6" s="80"/>
      <c r="AW6" s="80"/>
      <c r="AX6" s="81"/>
    </row>
    <row r="7" spans="2:50" ht="6" customHeight="1">
      <c r="B7" s="42"/>
      <c r="C7" s="42"/>
      <c r="D7" s="16"/>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6"/>
    </row>
    <row r="8" spans="2:50" ht="10.5" customHeight="1">
      <c r="B8" s="42"/>
      <c r="C8" s="42"/>
      <c r="D8" s="63" t="s">
        <v>354</v>
      </c>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17"/>
      <c r="AT8" s="17"/>
      <c r="AU8" s="17"/>
      <c r="AV8" s="17"/>
      <c r="AW8" s="17"/>
      <c r="AX8" s="63" t="s">
        <v>355</v>
      </c>
    </row>
    <row r="9" spans="2:50" ht="6.6" customHeight="1">
      <c r="B9" s="42"/>
      <c r="C9" s="42"/>
      <c r="D9" s="53"/>
      <c r="E9" s="75"/>
      <c r="F9" s="75"/>
      <c r="G9" s="75"/>
      <c r="H9" s="75"/>
      <c r="I9" s="75"/>
      <c r="J9" s="75"/>
      <c r="K9" s="75"/>
      <c r="L9" s="75"/>
      <c r="M9" s="75"/>
      <c r="N9" s="75"/>
      <c r="O9" s="75"/>
      <c r="P9" s="75"/>
      <c r="Q9" s="75"/>
      <c r="R9" s="75"/>
      <c r="S9" s="75"/>
      <c r="T9" s="75"/>
      <c r="U9" s="75"/>
      <c r="V9" s="75"/>
      <c r="W9" s="75"/>
      <c r="X9" s="75"/>
      <c r="Y9" s="75"/>
      <c r="Z9" s="75"/>
      <c r="AA9" s="28"/>
      <c r="AB9" s="75"/>
      <c r="AC9" s="75"/>
      <c r="AD9" s="75"/>
      <c r="AE9" s="28"/>
      <c r="AF9" s="75"/>
      <c r="AG9" s="28"/>
      <c r="AH9" s="75"/>
      <c r="AI9" s="28"/>
      <c r="AJ9" s="75"/>
      <c r="AK9" s="28"/>
      <c r="AL9" s="75"/>
      <c r="AM9" s="28"/>
      <c r="AN9" s="75"/>
      <c r="AO9" s="28"/>
      <c r="AP9" s="75"/>
      <c r="AQ9" s="28"/>
      <c r="AR9" s="75"/>
      <c r="AS9" s="17"/>
      <c r="AT9" s="17"/>
      <c r="AU9" s="17"/>
      <c r="AV9" s="17"/>
      <c r="AW9" s="17"/>
      <c r="AX9" s="53"/>
    </row>
    <row r="10" spans="2:50" ht="10.5" customHeight="1">
      <c r="B10" s="42"/>
      <c r="C10" s="42"/>
      <c r="D10" s="63" t="s">
        <v>737</v>
      </c>
      <c r="E10" s="75"/>
      <c r="F10" s="75"/>
      <c r="G10" s="75"/>
      <c r="H10" s="75"/>
      <c r="I10" s="75"/>
      <c r="J10" s="75"/>
      <c r="K10" s="75"/>
      <c r="L10" s="75"/>
      <c r="M10" s="75"/>
      <c r="N10" s="75"/>
      <c r="O10" s="75"/>
      <c r="P10" s="75"/>
      <c r="Q10" s="75"/>
      <c r="R10" s="75"/>
      <c r="S10" s="75"/>
      <c r="T10" s="75"/>
      <c r="U10" s="75"/>
      <c r="V10" s="75"/>
      <c r="W10" s="75"/>
      <c r="X10" s="75"/>
      <c r="Y10" s="75"/>
      <c r="Z10" s="75"/>
      <c r="AA10" s="28"/>
      <c r="AB10" s="75"/>
      <c r="AC10" s="75"/>
      <c r="AD10" s="75"/>
      <c r="AE10" s="28"/>
      <c r="AF10" s="75"/>
      <c r="AG10" s="28"/>
      <c r="AH10" s="75"/>
      <c r="AI10" s="28"/>
      <c r="AJ10" s="75"/>
      <c r="AK10" s="28"/>
      <c r="AL10" s="75"/>
      <c r="AM10" s="28"/>
      <c r="AN10" s="75"/>
      <c r="AO10" s="28"/>
      <c r="AP10" s="75"/>
      <c r="AQ10" s="28"/>
      <c r="AR10" s="75"/>
      <c r="AS10" s="75"/>
      <c r="AT10" s="75"/>
      <c r="AU10" s="75"/>
      <c r="AV10" s="75"/>
      <c r="AW10" s="75"/>
      <c r="AX10" s="63" t="s">
        <v>356</v>
      </c>
    </row>
    <row r="11" spans="2:50" ht="10.5" customHeight="1">
      <c r="B11" s="42">
        <v>1</v>
      </c>
      <c r="C11" s="42"/>
      <c r="D11" s="16" t="s">
        <v>357</v>
      </c>
      <c r="E11" s="28">
        <v>531</v>
      </c>
      <c r="F11" s="75"/>
      <c r="G11" s="28">
        <v>546</v>
      </c>
      <c r="H11" s="75"/>
      <c r="I11" s="28">
        <v>513</v>
      </c>
      <c r="J11" s="75"/>
      <c r="K11" s="28">
        <v>451</v>
      </c>
      <c r="L11" s="75"/>
      <c r="M11" s="28">
        <v>374</v>
      </c>
      <c r="N11" s="75"/>
      <c r="O11" s="28">
        <v>362</v>
      </c>
      <c r="P11" s="75"/>
      <c r="Q11" s="28">
        <v>339</v>
      </c>
      <c r="R11" s="75"/>
      <c r="S11" s="28">
        <v>336</v>
      </c>
      <c r="T11" s="75"/>
      <c r="U11" s="28">
        <v>335</v>
      </c>
      <c r="V11" s="75"/>
      <c r="W11" s="28">
        <v>334</v>
      </c>
      <c r="X11" s="75"/>
      <c r="Y11" s="28">
        <v>332</v>
      </c>
      <c r="Z11" s="28"/>
      <c r="AA11" s="28">
        <v>341</v>
      </c>
      <c r="AB11" s="16"/>
      <c r="AC11" s="28">
        <v>363</v>
      </c>
      <c r="AD11" s="16"/>
      <c r="AE11" s="28">
        <v>356</v>
      </c>
      <c r="AF11" s="16"/>
      <c r="AG11" s="28">
        <v>351</v>
      </c>
      <c r="AH11" s="16"/>
      <c r="AI11" s="28">
        <v>361</v>
      </c>
      <c r="AJ11" s="16"/>
      <c r="AK11" s="28">
        <v>372</v>
      </c>
      <c r="AL11" s="16"/>
      <c r="AM11" s="28">
        <v>333</v>
      </c>
      <c r="AN11" s="16"/>
      <c r="AO11" s="28">
        <v>328</v>
      </c>
      <c r="AP11" s="16"/>
      <c r="AQ11" s="28">
        <v>289</v>
      </c>
      <c r="AR11" s="16"/>
      <c r="AS11" s="75">
        <v>332</v>
      </c>
      <c r="AT11" s="75"/>
      <c r="AU11" s="75">
        <v>359</v>
      </c>
      <c r="AV11" s="75"/>
      <c r="AW11" s="75"/>
      <c r="AX11" s="16" t="s">
        <v>358</v>
      </c>
    </row>
    <row r="12" spans="2:50" ht="10.5" customHeight="1">
      <c r="B12" s="42">
        <v>2</v>
      </c>
      <c r="C12" s="42"/>
      <c r="D12" s="16" t="s">
        <v>359</v>
      </c>
      <c r="E12" s="28">
        <v>89</v>
      </c>
      <c r="F12" s="75"/>
      <c r="G12" s="28">
        <v>89</v>
      </c>
      <c r="H12" s="75"/>
      <c r="I12" s="28">
        <v>91</v>
      </c>
      <c r="J12" s="75"/>
      <c r="K12" s="28">
        <v>87</v>
      </c>
      <c r="L12" s="75"/>
      <c r="M12" s="28">
        <v>81</v>
      </c>
      <c r="N12" s="75"/>
      <c r="O12" s="28">
        <v>86</v>
      </c>
      <c r="P12" s="75"/>
      <c r="Q12" s="28">
        <v>86</v>
      </c>
      <c r="R12" s="75"/>
      <c r="S12" s="28">
        <v>79</v>
      </c>
      <c r="T12" s="75"/>
      <c r="U12" s="28">
        <v>88</v>
      </c>
      <c r="V12" s="75"/>
      <c r="W12" s="28">
        <v>88</v>
      </c>
      <c r="X12" s="75"/>
      <c r="Y12" s="28">
        <v>88</v>
      </c>
      <c r="Z12" s="28"/>
      <c r="AA12" s="28">
        <v>55</v>
      </c>
      <c r="AB12" s="16"/>
      <c r="AC12" s="28">
        <v>57</v>
      </c>
      <c r="AD12" s="16"/>
      <c r="AE12" s="28">
        <v>62</v>
      </c>
      <c r="AF12" s="16"/>
      <c r="AG12" s="28">
        <v>67</v>
      </c>
      <c r="AH12" s="16"/>
      <c r="AI12" s="28">
        <v>67</v>
      </c>
      <c r="AJ12" s="16"/>
      <c r="AK12" s="28">
        <v>67</v>
      </c>
      <c r="AL12" s="16"/>
      <c r="AM12" s="28">
        <v>65</v>
      </c>
      <c r="AN12" s="16"/>
      <c r="AO12" s="28">
        <v>60</v>
      </c>
      <c r="AP12" s="16"/>
      <c r="AQ12" s="28">
        <v>66</v>
      </c>
      <c r="AR12" s="16"/>
      <c r="AS12" s="75">
        <v>71</v>
      </c>
      <c r="AT12" s="75"/>
      <c r="AU12" s="75">
        <v>68</v>
      </c>
      <c r="AV12" s="75"/>
      <c r="AW12" s="75"/>
      <c r="AX12" s="16" t="s">
        <v>360</v>
      </c>
    </row>
    <row r="13" spans="2:50" ht="10.5" customHeight="1">
      <c r="B13" s="42">
        <v>3</v>
      </c>
      <c r="C13" s="42"/>
      <c r="D13" s="16" t="s">
        <v>361</v>
      </c>
      <c r="E13" s="28">
        <v>86</v>
      </c>
      <c r="F13" s="23"/>
      <c r="G13" s="28">
        <v>86</v>
      </c>
      <c r="H13" s="23"/>
      <c r="I13" s="28">
        <v>86</v>
      </c>
      <c r="J13" s="23"/>
      <c r="K13" s="28">
        <v>77</v>
      </c>
      <c r="L13" s="23"/>
      <c r="M13" s="28">
        <v>75</v>
      </c>
      <c r="N13" s="23"/>
      <c r="O13" s="28">
        <v>77</v>
      </c>
      <c r="P13" s="23"/>
      <c r="Q13" s="28">
        <v>77</v>
      </c>
      <c r="R13" s="23"/>
      <c r="S13" s="28">
        <v>77</v>
      </c>
      <c r="T13" s="23"/>
      <c r="U13" s="28">
        <v>81</v>
      </c>
      <c r="V13" s="23"/>
      <c r="W13" s="28">
        <v>81</v>
      </c>
      <c r="X13" s="75"/>
      <c r="Y13" s="28">
        <v>81</v>
      </c>
      <c r="AA13" s="28">
        <v>60</v>
      </c>
      <c r="AB13" s="16"/>
      <c r="AC13" s="28">
        <v>60</v>
      </c>
      <c r="AD13" s="16"/>
      <c r="AE13" s="28">
        <v>60</v>
      </c>
      <c r="AF13" s="16"/>
      <c r="AG13" s="28">
        <v>60</v>
      </c>
      <c r="AH13" s="16"/>
      <c r="AI13" s="28">
        <v>60</v>
      </c>
      <c r="AJ13" s="16"/>
      <c r="AK13" s="28">
        <v>60</v>
      </c>
      <c r="AL13" s="16"/>
      <c r="AM13" s="28">
        <v>60</v>
      </c>
      <c r="AN13" s="16"/>
      <c r="AO13" s="28">
        <v>59</v>
      </c>
      <c r="AP13" s="16"/>
      <c r="AQ13" s="28">
        <v>58</v>
      </c>
      <c r="AR13" s="16"/>
      <c r="AS13" s="17">
        <v>53</v>
      </c>
      <c r="AT13" s="17"/>
      <c r="AU13" s="17">
        <v>72</v>
      </c>
      <c r="AV13" s="17"/>
      <c r="AW13" s="17"/>
      <c r="AX13" s="16" t="s">
        <v>362</v>
      </c>
    </row>
    <row r="14" spans="2:50" ht="10.5" customHeight="1">
      <c r="B14" s="42">
        <v>4</v>
      </c>
      <c r="C14" s="42"/>
      <c r="D14" s="16" t="s">
        <v>363</v>
      </c>
      <c r="E14" s="28">
        <v>32</v>
      </c>
      <c r="F14" s="75"/>
      <c r="G14" s="28">
        <v>38</v>
      </c>
      <c r="H14" s="75"/>
      <c r="I14" s="28">
        <v>34</v>
      </c>
      <c r="J14" s="75"/>
      <c r="K14" s="28">
        <v>34</v>
      </c>
      <c r="L14" s="75"/>
      <c r="M14" s="28">
        <v>24</v>
      </c>
      <c r="N14" s="75"/>
      <c r="O14" s="28">
        <v>30</v>
      </c>
      <c r="P14" s="75"/>
      <c r="Q14" s="28">
        <v>30</v>
      </c>
      <c r="R14" s="75"/>
      <c r="S14" s="28">
        <v>29</v>
      </c>
      <c r="T14" s="75"/>
      <c r="U14" s="28">
        <v>27</v>
      </c>
      <c r="V14" s="75"/>
      <c r="W14" s="28">
        <v>28</v>
      </c>
      <c r="X14" s="75"/>
      <c r="Y14" s="28">
        <v>28</v>
      </c>
      <c r="AA14" s="28">
        <v>27</v>
      </c>
      <c r="AB14" s="16"/>
      <c r="AC14" s="28">
        <v>16</v>
      </c>
      <c r="AD14" s="16"/>
      <c r="AE14" s="28">
        <v>16</v>
      </c>
      <c r="AF14" s="16"/>
      <c r="AG14" s="28">
        <v>18</v>
      </c>
      <c r="AH14" s="16"/>
      <c r="AI14" s="28">
        <v>19</v>
      </c>
      <c r="AJ14" s="16"/>
      <c r="AK14" s="28">
        <v>28</v>
      </c>
      <c r="AL14" s="16"/>
      <c r="AM14" s="28">
        <v>31</v>
      </c>
      <c r="AN14" s="16"/>
      <c r="AO14" s="28">
        <v>28</v>
      </c>
      <c r="AP14" s="16"/>
      <c r="AQ14" s="28">
        <v>24</v>
      </c>
      <c r="AR14" s="16"/>
      <c r="AS14" s="75">
        <v>25</v>
      </c>
      <c r="AT14" s="75"/>
      <c r="AU14" s="75">
        <v>30</v>
      </c>
      <c r="AV14" s="75"/>
      <c r="AW14" s="75"/>
      <c r="AX14" s="16" t="s">
        <v>364</v>
      </c>
    </row>
    <row r="15" spans="2:50" ht="10.5" customHeight="1">
      <c r="B15" s="42">
        <v>5</v>
      </c>
      <c r="C15" s="42"/>
      <c r="D15" s="16" t="s">
        <v>365</v>
      </c>
      <c r="E15" s="28">
        <v>7</v>
      </c>
      <c r="F15" s="75"/>
      <c r="G15" s="28">
        <v>7</v>
      </c>
      <c r="H15" s="75"/>
      <c r="I15" s="28">
        <v>7</v>
      </c>
      <c r="J15" s="75"/>
      <c r="K15" s="28">
        <v>2</v>
      </c>
      <c r="L15" s="75"/>
      <c r="M15" s="28">
        <v>2</v>
      </c>
      <c r="N15" s="75"/>
      <c r="O15" s="28">
        <v>2</v>
      </c>
      <c r="P15" s="75"/>
      <c r="Q15" s="28">
        <v>2</v>
      </c>
      <c r="R15" s="75"/>
      <c r="S15" s="28">
        <v>2</v>
      </c>
      <c r="T15" s="75"/>
      <c r="U15" s="28">
        <v>2</v>
      </c>
      <c r="V15" s="75"/>
      <c r="W15" s="28">
        <v>4</v>
      </c>
      <c r="X15" s="75"/>
      <c r="Y15" s="28">
        <v>3</v>
      </c>
      <c r="AA15" s="28">
        <v>4</v>
      </c>
      <c r="AB15" s="16"/>
      <c r="AC15" s="28">
        <v>4</v>
      </c>
      <c r="AD15" s="16"/>
      <c r="AE15" s="28">
        <v>2</v>
      </c>
      <c r="AF15" s="16"/>
      <c r="AG15" s="75" t="s">
        <v>77</v>
      </c>
      <c r="AH15" s="16"/>
      <c r="AI15" s="28">
        <v>1</v>
      </c>
      <c r="AJ15" s="16"/>
      <c r="AK15" s="28">
        <v>1</v>
      </c>
      <c r="AL15" s="16"/>
      <c r="AM15" s="28">
        <v>1</v>
      </c>
      <c r="AN15" s="16"/>
      <c r="AO15" s="28">
        <v>1</v>
      </c>
      <c r="AP15" s="16"/>
      <c r="AQ15" s="28">
        <v>1</v>
      </c>
      <c r="AR15" s="16"/>
      <c r="AS15" s="17">
        <v>1</v>
      </c>
      <c r="AT15" s="17"/>
      <c r="AU15" s="17">
        <v>1</v>
      </c>
      <c r="AV15" s="17"/>
      <c r="AW15" s="17"/>
      <c r="AX15" s="16" t="s">
        <v>366</v>
      </c>
    </row>
    <row r="16" spans="2:50" ht="10.5" customHeight="1">
      <c r="B16" s="42">
        <v>6</v>
      </c>
      <c r="C16" s="42"/>
      <c r="D16" s="16" t="s">
        <v>342</v>
      </c>
      <c r="E16" s="75" t="s">
        <v>77</v>
      </c>
      <c r="F16" s="75"/>
      <c r="G16" s="75" t="s">
        <v>77</v>
      </c>
      <c r="H16" s="75"/>
      <c r="I16" s="75" t="s">
        <v>77</v>
      </c>
      <c r="J16" s="75"/>
      <c r="K16" s="75" t="s">
        <v>77</v>
      </c>
      <c r="L16" s="75"/>
      <c r="M16" s="75" t="s">
        <v>77</v>
      </c>
      <c r="N16" s="75"/>
      <c r="O16" s="75" t="s">
        <v>77</v>
      </c>
      <c r="P16" s="75"/>
      <c r="Q16" s="75" t="s">
        <v>77</v>
      </c>
      <c r="R16" s="23"/>
      <c r="S16" s="75" t="s">
        <v>77</v>
      </c>
      <c r="T16" s="75"/>
      <c r="U16" s="75" t="s">
        <v>77</v>
      </c>
      <c r="V16" s="75"/>
      <c r="W16" s="75" t="s">
        <v>77</v>
      </c>
      <c r="X16" s="75"/>
      <c r="Y16" s="75" t="s">
        <v>77</v>
      </c>
      <c r="Z16" s="23"/>
      <c r="AA16" s="75" t="s">
        <v>77</v>
      </c>
      <c r="AB16" s="16"/>
      <c r="AC16" s="75" t="s">
        <v>77</v>
      </c>
      <c r="AD16" s="16"/>
      <c r="AE16" s="75" t="s">
        <v>77</v>
      </c>
      <c r="AF16" s="16"/>
      <c r="AG16" s="75" t="s">
        <v>77</v>
      </c>
      <c r="AH16" s="16"/>
      <c r="AI16" s="75" t="s">
        <v>77</v>
      </c>
      <c r="AJ16" s="16"/>
      <c r="AK16" s="75" t="s">
        <v>77</v>
      </c>
      <c r="AL16" s="16"/>
      <c r="AM16" s="75" t="s">
        <v>77</v>
      </c>
      <c r="AN16" s="16"/>
      <c r="AO16" s="75" t="s">
        <v>77</v>
      </c>
      <c r="AP16" s="16"/>
      <c r="AQ16" s="75" t="s">
        <v>77</v>
      </c>
      <c r="AR16" s="16"/>
      <c r="AS16" s="75" t="s">
        <v>77</v>
      </c>
      <c r="AT16" s="17"/>
      <c r="AU16" s="75" t="s">
        <v>77</v>
      </c>
      <c r="AV16" s="17"/>
      <c r="AW16" s="17"/>
      <c r="AX16" s="16" t="s">
        <v>367</v>
      </c>
    </row>
    <row r="17" spans="2:51" ht="10.5" customHeight="1">
      <c r="B17" s="42">
        <v>7</v>
      </c>
      <c r="C17" s="42"/>
      <c r="D17" s="16" t="s">
        <v>368</v>
      </c>
      <c r="E17" s="28">
        <v>34</v>
      </c>
      <c r="F17" s="75"/>
      <c r="G17" s="28">
        <v>34</v>
      </c>
      <c r="H17" s="75"/>
      <c r="I17" s="28">
        <v>33</v>
      </c>
      <c r="J17" s="75"/>
      <c r="K17" s="28">
        <v>34</v>
      </c>
      <c r="L17" s="75"/>
      <c r="M17" s="28">
        <v>24</v>
      </c>
      <c r="N17" s="75"/>
      <c r="O17" s="28">
        <v>17</v>
      </c>
      <c r="P17" s="75"/>
      <c r="Q17" s="28">
        <v>20</v>
      </c>
      <c r="R17" s="75"/>
      <c r="S17" s="28">
        <v>19</v>
      </c>
      <c r="T17" s="75"/>
      <c r="U17" s="28">
        <v>19</v>
      </c>
      <c r="V17" s="75"/>
      <c r="W17" s="28">
        <v>19</v>
      </c>
      <c r="X17" s="75"/>
      <c r="Y17" s="28">
        <v>19</v>
      </c>
      <c r="Z17" s="23"/>
      <c r="AA17" s="28">
        <v>15</v>
      </c>
      <c r="AB17" s="16"/>
      <c r="AC17" s="28">
        <v>13</v>
      </c>
      <c r="AD17" s="16"/>
      <c r="AE17" s="28">
        <v>13</v>
      </c>
      <c r="AF17" s="16"/>
      <c r="AG17" s="28">
        <v>3</v>
      </c>
      <c r="AH17" s="16"/>
      <c r="AI17" s="28">
        <v>3</v>
      </c>
      <c r="AJ17" s="16"/>
      <c r="AK17" s="28">
        <v>3</v>
      </c>
      <c r="AL17" s="16"/>
      <c r="AM17" s="28">
        <v>1</v>
      </c>
      <c r="AN17" s="16"/>
      <c r="AO17" s="28">
        <v>1</v>
      </c>
      <c r="AP17" s="16"/>
      <c r="AQ17" s="75" t="s">
        <v>77</v>
      </c>
      <c r="AR17" s="16"/>
      <c r="AS17" s="75" t="s">
        <v>77</v>
      </c>
      <c r="AT17" s="17"/>
      <c r="AU17" s="75" t="s">
        <v>77</v>
      </c>
      <c r="AV17" s="17"/>
      <c r="AW17" s="17"/>
      <c r="AX17" s="16" t="s">
        <v>369</v>
      </c>
    </row>
    <row r="18" spans="2:51" ht="10.5" customHeight="1">
      <c r="B18" s="42">
        <v>8</v>
      </c>
      <c r="C18" s="42"/>
      <c r="D18" s="18" t="s">
        <v>231</v>
      </c>
      <c r="E18" s="65">
        <v>779</v>
      </c>
      <c r="F18" s="133"/>
      <c r="G18" s="65">
        <v>800</v>
      </c>
      <c r="H18" s="133"/>
      <c r="I18" s="65">
        <v>764</v>
      </c>
      <c r="J18" s="133"/>
      <c r="K18" s="65">
        <v>685</v>
      </c>
      <c r="L18" s="133"/>
      <c r="M18" s="65">
        <v>580</v>
      </c>
      <c r="N18" s="133"/>
      <c r="O18" s="65">
        <v>574</v>
      </c>
      <c r="P18" s="133"/>
      <c r="Q18" s="65">
        <v>554</v>
      </c>
      <c r="R18" s="133"/>
      <c r="S18" s="65">
        <v>542</v>
      </c>
      <c r="T18" s="133"/>
      <c r="U18" s="65">
        <v>552</v>
      </c>
      <c r="V18" s="133"/>
      <c r="W18" s="65">
        <v>554</v>
      </c>
      <c r="X18" s="133"/>
      <c r="Y18" s="65">
        <v>551</v>
      </c>
      <c r="Z18" s="67"/>
      <c r="AA18" s="65">
        <v>502</v>
      </c>
      <c r="AB18" s="16"/>
      <c r="AC18" s="65">
        <v>513</v>
      </c>
      <c r="AD18" s="16"/>
      <c r="AE18" s="65">
        <v>509</v>
      </c>
      <c r="AF18" s="16"/>
      <c r="AG18" s="65">
        <v>499</v>
      </c>
      <c r="AH18" s="16"/>
      <c r="AI18" s="65">
        <v>511</v>
      </c>
      <c r="AJ18" s="16"/>
      <c r="AK18" s="65">
        <v>531</v>
      </c>
      <c r="AL18" s="16"/>
      <c r="AM18" s="65">
        <v>491</v>
      </c>
      <c r="AN18" s="16"/>
      <c r="AO18" s="65">
        <v>477</v>
      </c>
      <c r="AP18" s="16"/>
      <c r="AQ18" s="65">
        <v>438</v>
      </c>
      <c r="AR18" s="16"/>
      <c r="AS18" s="65">
        <v>482</v>
      </c>
      <c r="AT18" s="17"/>
      <c r="AU18" s="65">
        <v>530</v>
      </c>
      <c r="AV18" s="17"/>
      <c r="AW18" s="17"/>
      <c r="AX18" s="18" t="s">
        <v>84</v>
      </c>
    </row>
    <row r="19" spans="2:51" ht="6.6" customHeight="1">
      <c r="B19" s="42"/>
      <c r="C19" s="42"/>
      <c r="D19" s="16"/>
      <c r="E19" s="28"/>
      <c r="F19" s="75"/>
      <c r="G19" s="28"/>
      <c r="H19" s="75"/>
      <c r="I19" s="28"/>
      <c r="J19" s="75"/>
      <c r="K19" s="28"/>
      <c r="L19" s="75"/>
      <c r="M19" s="28"/>
      <c r="N19" s="75"/>
      <c r="O19" s="28"/>
      <c r="P19" s="75"/>
      <c r="Q19" s="28"/>
      <c r="R19" s="75"/>
      <c r="S19" s="28"/>
      <c r="T19" s="75"/>
      <c r="U19" s="28"/>
      <c r="V19" s="75"/>
      <c r="W19" s="28"/>
      <c r="X19" s="75"/>
      <c r="Y19" s="28"/>
      <c r="Z19" s="23"/>
      <c r="AA19" s="28"/>
      <c r="AB19" s="16"/>
      <c r="AC19" s="28"/>
      <c r="AD19" s="16"/>
      <c r="AE19" s="28"/>
      <c r="AF19" s="16"/>
      <c r="AG19" s="28"/>
      <c r="AH19" s="16"/>
      <c r="AI19" s="28"/>
      <c r="AJ19" s="16"/>
      <c r="AK19" s="28"/>
      <c r="AL19" s="16"/>
      <c r="AM19" s="28"/>
      <c r="AN19" s="16"/>
      <c r="AO19" s="28"/>
      <c r="AP19" s="16"/>
      <c r="AQ19" s="28"/>
      <c r="AR19" s="16"/>
      <c r="AS19" s="17"/>
      <c r="AT19" s="17"/>
      <c r="AU19" s="17"/>
      <c r="AV19" s="17"/>
      <c r="AW19" s="17"/>
      <c r="AX19" s="16"/>
    </row>
    <row r="20" spans="2:51" ht="10.5" customHeight="1">
      <c r="B20" s="42"/>
      <c r="C20" s="42"/>
      <c r="D20" s="63" t="s">
        <v>370</v>
      </c>
      <c r="E20" s="28"/>
      <c r="F20" s="75"/>
      <c r="G20" s="28"/>
      <c r="H20" s="75"/>
      <c r="I20" s="28"/>
      <c r="J20" s="75"/>
      <c r="K20" s="28"/>
      <c r="L20" s="75"/>
      <c r="M20" s="28"/>
      <c r="N20" s="75"/>
      <c r="O20" s="28"/>
      <c r="P20" s="75"/>
      <c r="Q20" s="28"/>
      <c r="R20" s="75"/>
      <c r="S20" s="28"/>
      <c r="T20" s="75"/>
      <c r="U20" s="28"/>
      <c r="V20" s="75"/>
      <c r="W20" s="28"/>
      <c r="X20" s="75"/>
      <c r="Y20" s="28"/>
      <c r="Z20" s="23"/>
      <c r="AA20" s="28"/>
      <c r="AB20" s="16"/>
      <c r="AC20" s="28"/>
      <c r="AD20" s="16"/>
      <c r="AE20" s="28"/>
      <c r="AF20" s="16"/>
      <c r="AG20" s="28"/>
      <c r="AH20" s="16"/>
      <c r="AI20" s="28"/>
      <c r="AJ20" s="16"/>
      <c r="AK20" s="28"/>
      <c r="AL20" s="16"/>
      <c r="AM20" s="28"/>
      <c r="AN20" s="16"/>
      <c r="AO20" s="28"/>
      <c r="AP20" s="16"/>
      <c r="AQ20" s="28"/>
      <c r="AR20" s="16"/>
      <c r="AS20" s="17"/>
      <c r="AT20" s="17"/>
      <c r="AU20" s="17"/>
      <c r="AV20" s="17"/>
      <c r="AW20" s="17"/>
      <c r="AX20" s="63" t="s">
        <v>371</v>
      </c>
    </row>
    <row r="21" spans="2:51" ht="10.5" customHeight="1">
      <c r="B21" s="42">
        <v>9</v>
      </c>
      <c r="C21" s="42"/>
      <c r="D21" s="18" t="s">
        <v>736</v>
      </c>
      <c r="E21" s="65">
        <v>1010</v>
      </c>
      <c r="F21" s="133"/>
      <c r="G21" s="65">
        <v>1088</v>
      </c>
      <c r="H21" s="133"/>
      <c r="I21" s="65">
        <v>1171</v>
      </c>
      <c r="J21" s="133"/>
      <c r="K21" s="65">
        <v>1192</v>
      </c>
      <c r="L21" s="133"/>
      <c r="M21" s="65">
        <v>1204</v>
      </c>
      <c r="N21" s="133"/>
      <c r="O21" s="65">
        <v>1327</v>
      </c>
      <c r="P21" s="133"/>
      <c r="Q21" s="65">
        <v>1398</v>
      </c>
      <c r="R21" s="133"/>
      <c r="S21" s="65">
        <v>1635</v>
      </c>
      <c r="T21" s="133"/>
      <c r="U21" s="65">
        <v>1752</v>
      </c>
      <c r="V21" s="133"/>
      <c r="W21" s="65">
        <v>1737</v>
      </c>
      <c r="X21" s="133"/>
      <c r="Y21" s="65">
        <v>1823</v>
      </c>
      <c r="Z21" s="67"/>
      <c r="AA21" s="65">
        <v>1910</v>
      </c>
      <c r="AB21" s="18"/>
      <c r="AC21" s="65">
        <v>2133</v>
      </c>
      <c r="AD21" s="18"/>
      <c r="AE21" s="65">
        <v>2206</v>
      </c>
      <c r="AF21" s="23"/>
      <c r="AG21" s="65">
        <v>2307</v>
      </c>
      <c r="AH21" s="18"/>
      <c r="AI21" s="65">
        <v>2347</v>
      </c>
      <c r="AJ21" s="18"/>
      <c r="AK21" s="65">
        <v>2433</v>
      </c>
      <c r="AL21" s="18"/>
      <c r="AM21" s="65">
        <v>2557</v>
      </c>
      <c r="AN21" s="18"/>
      <c r="AO21" s="65">
        <v>2607</v>
      </c>
      <c r="AP21" s="18"/>
      <c r="AQ21" s="65">
        <v>2658</v>
      </c>
      <c r="AR21" s="18"/>
      <c r="AS21" s="65">
        <v>2802</v>
      </c>
      <c r="AT21" s="66"/>
      <c r="AU21" s="65">
        <v>2860</v>
      </c>
      <c r="AV21" s="66"/>
      <c r="AW21" s="66"/>
      <c r="AX21" s="18" t="s">
        <v>372</v>
      </c>
    </row>
    <row r="22" spans="2:51" ht="10.5" customHeight="1">
      <c r="B22" s="42">
        <v>10</v>
      </c>
      <c r="C22" s="42"/>
      <c r="D22" s="24" t="s">
        <v>735</v>
      </c>
      <c r="E22" s="28">
        <v>260</v>
      </c>
      <c r="F22" s="75"/>
      <c r="G22" s="28">
        <v>266</v>
      </c>
      <c r="H22" s="75"/>
      <c r="I22" s="28">
        <v>316</v>
      </c>
      <c r="J22" s="75"/>
      <c r="K22" s="28">
        <v>320</v>
      </c>
      <c r="L22" s="75"/>
      <c r="M22" s="28">
        <v>328</v>
      </c>
      <c r="N22" s="75"/>
      <c r="O22" s="28">
        <v>415</v>
      </c>
      <c r="P22" s="75"/>
      <c r="Q22" s="28">
        <v>444</v>
      </c>
      <c r="R22" s="75"/>
      <c r="S22" s="28">
        <v>479</v>
      </c>
      <c r="T22" s="75"/>
      <c r="U22" s="28">
        <v>491</v>
      </c>
      <c r="V22" s="75"/>
      <c r="W22" s="28">
        <v>491</v>
      </c>
      <c r="X22" s="75"/>
      <c r="Y22" s="28">
        <v>501</v>
      </c>
      <c r="Z22" s="23"/>
      <c r="AA22" s="28">
        <v>521</v>
      </c>
      <c r="AB22" s="16"/>
      <c r="AC22" s="28">
        <v>529</v>
      </c>
      <c r="AD22" s="16"/>
      <c r="AE22" s="28">
        <v>569</v>
      </c>
      <c r="AF22" s="16"/>
      <c r="AG22" s="28">
        <v>573</v>
      </c>
      <c r="AH22" s="16"/>
      <c r="AI22" s="28">
        <v>603</v>
      </c>
      <c r="AJ22" s="16"/>
      <c r="AK22" s="28">
        <v>603</v>
      </c>
      <c r="AL22" s="16"/>
      <c r="AM22" s="28">
        <v>610</v>
      </c>
      <c r="AN22" s="16"/>
      <c r="AO22" s="28">
        <v>582</v>
      </c>
      <c r="AP22" s="16"/>
      <c r="AQ22" s="28">
        <v>610</v>
      </c>
      <c r="AR22" s="16"/>
      <c r="AS22" s="28">
        <v>760</v>
      </c>
      <c r="AT22" s="17"/>
      <c r="AU22" s="28">
        <v>799</v>
      </c>
      <c r="AV22" s="17"/>
      <c r="AW22" s="17"/>
      <c r="AX22" s="24" t="s">
        <v>374</v>
      </c>
    </row>
    <row r="23" spans="2:51" ht="10.5" customHeight="1">
      <c r="B23" s="42"/>
      <c r="C23" s="42"/>
      <c r="D23" s="24"/>
      <c r="E23" s="28"/>
      <c r="F23" s="75"/>
      <c r="G23" s="28"/>
      <c r="H23" s="75"/>
      <c r="I23" s="28"/>
      <c r="J23" s="75"/>
      <c r="K23" s="28"/>
      <c r="L23" s="75"/>
      <c r="M23" s="28"/>
      <c r="N23" s="75"/>
      <c r="O23" s="28"/>
      <c r="P23" s="75"/>
      <c r="Q23" s="28"/>
      <c r="R23" s="75"/>
      <c r="S23" s="28"/>
      <c r="T23" s="75"/>
      <c r="U23" s="28"/>
      <c r="V23" s="75"/>
      <c r="W23" s="28"/>
      <c r="X23" s="75"/>
      <c r="Y23" s="28"/>
      <c r="Z23" s="23"/>
      <c r="AA23" s="28"/>
      <c r="AB23" s="16"/>
      <c r="AC23" s="28"/>
      <c r="AD23" s="16"/>
      <c r="AE23" s="28"/>
      <c r="AF23" s="16"/>
      <c r="AG23" s="28"/>
      <c r="AH23" s="16"/>
      <c r="AI23" s="28"/>
      <c r="AJ23" s="16"/>
      <c r="AK23" s="28"/>
      <c r="AL23" s="16"/>
      <c r="AM23" s="28"/>
      <c r="AN23" s="16"/>
      <c r="AO23" s="28"/>
      <c r="AP23" s="16"/>
      <c r="AQ23" s="28"/>
      <c r="AR23" s="16"/>
      <c r="AS23" s="28"/>
      <c r="AT23" s="17"/>
      <c r="AU23" s="28"/>
      <c r="AV23" s="17"/>
      <c r="AW23" s="17"/>
      <c r="AX23" s="24" t="s">
        <v>375</v>
      </c>
    </row>
    <row r="24" spans="2:51" ht="6.6" customHeight="1">
      <c r="B24" s="42"/>
      <c r="C24" s="42"/>
      <c r="D24" s="16"/>
      <c r="E24" s="28"/>
      <c r="F24" s="75"/>
      <c r="G24" s="28"/>
      <c r="H24" s="75"/>
      <c r="I24" s="28"/>
      <c r="J24" s="75"/>
      <c r="K24" s="28"/>
      <c r="L24" s="75"/>
      <c r="M24" s="28"/>
      <c r="N24" s="75"/>
      <c r="O24" s="28"/>
      <c r="P24" s="75"/>
      <c r="Q24" s="28"/>
      <c r="R24" s="75"/>
      <c r="S24" s="28"/>
      <c r="T24" s="75"/>
      <c r="U24" s="28"/>
      <c r="V24" s="75"/>
      <c r="W24" s="28"/>
      <c r="X24" s="75"/>
      <c r="Y24" s="28"/>
      <c r="Z24" s="23"/>
      <c r="AA24" s="28"/>
      <c r="AB24" s="16"/>
      <c r="AC24" s="28"/>
      <c r="AD24" s="16"/>
      <c r="AE24" s="28"/>
      <c r="AF24" s="16"/>
      <c r="AG24" s="28"/>
      <c r="AH24" s="16"/>
      <c r="AI24" s="28"/>
      <c r="AJ24" s="16"/>
      <c r="AK24" s="28"/>
      <c r="AL24" s="16"/>
      <c r="AM24" s="28"/>
      <c r="AN24" s="16"/>
      <c r="AO24" s="28"/>
      <c r="AP24" s="16"/>
      <c r="AQ24" s="28"/>
      <c r="AR24" s="16"/>
      <c r="AS24" s="28"/>
      <c r="AT24" s="17"/>
      <c r="AU24" s="28"/>
      <c r="AV24" s="17"/>
      <c r="AW24" s="17"/>
      <c r="AX24" s="16"/>
    </row>
    <row r="25" spans="2:51" ht="10.5" customHeight="1">
      <c r="B25" s="42">
        <v>11</v>
      </c>
      <c r="C25" s="42"/>
      <c r="D25" s="18" t="s">
        <v>376</v>
      </c>
      <c r="E25" s="65">
        <v>1789</v>
      </c>
      <c r="F25" s="133">
        <v>0</v>
      </c>
      <c r="G25" s="65">
        <v>1888</v>
      </c>
      <c r="H25" s="133">
        <v>0</v>
      </c>
      <c r="I25" s="65">
        <v>1935</v>
      </c>
      <c r="J25" s="133">
        <v>0</v>
      </c>
      <c r="K25" s="65">
        <v>1877</v>
      </c>
      <c r="L25" s="133">
        <v>0</v>
      </c>
      <c r="M25" s="65">
        <v>1784</v>
      </c>
      <c r="N25" s="133">
        <v>0</v>
      </c>
      <c r="O25" s="65">
        <v>1901</v>
      </c>
      <c r="P25" s="133">
        <v>0</v>
      </c>
      <c r="Q25" s="65">
        <v>1952</v>
      </c>
      <c r="R25" s="133"/>
      <c r="S25" s="65">
        <v>2177</v>
      </c>
      <c r="T25" s="133"/>
      <c r="U25" s="65">
        <v>2304</v>
      </c>
      <c r="V25" s="133"/>
      <c r="W25" s="65">
        <v>2291</v>
      </c>
      <c r="X25" s="133"/>
      <c r="Y25" s="65">
        <v>2374</v>
      </c>
      <c r="Z25" s="67"/>
      <c r="AA25" s="65">
        <v>2412</v>
      </c>
      <c r="AB25" s="16"/>
      <c r="AC25" s="65">
        <v>2646</v>
      </c>
      <c r="AD25" s="16"/>
      <c r="AE25" s="65">
        <v>2715</v>
      </c>
      <c r="AF25" s="67"/>
      <c r="AG25" s="65">
        <v>2806</v>
      </c>
      <c r="AH25" s="67"/>
      <c r="AI25" s="65">
        <v>2858</v>
      </c>
      <c r="AJ25" s="67"/>
      <c r="AK25" s="65">
        <v>2964</v>
      </c>
      <c r="AL25" s="67"/>
      <c r="AM25" s="65">
        <v>3048</v>
      </c>
      <c r="AN25" s="67"/>
      <c r="AO25" s="65">
        <v>3084</v>
      </c>
      <c r="AP25" s="67"/>
      <c r="AQ25" s="65">
        <v>3096</v>
      </c>
      <c r="AR25" s="67"/>
      <c r="AS25" s="65">
        <v>3284</v>
      </c>
      <c r="AT25" s="17"/>
      <c r="AU25" s="65">
        <v>3390</v>
      </c>
      <c r="AV25" s="17"/>
      <c r="AW25" s="17"/>
      <c r="AX25" s="18" t="s">
        <v>377</v>
      </c>
    </row>
    <row r="26" spans="2:51" ht="6" customHeight="1">
      <c r="B26" s="34"/>
      <c r="C26" s="34"/>
      <c r="D26" s="56"/>
      <c r="E26" s="83"/>
      <c r="F26" s="141"/>
      <c r="G26" s="83"/>
      <c r="H26" s="141"/>
      <c r="I26" s="83"/>
      <c r="J26" s="141"/>
      <c r="K26" s="83"/>
      <c r="L26" s="141"/>
      <c r="M26" s="83"/>
      <c r="N26" s="141"/>
      <c r="O26" s="83"/>
      <c r="P26" s="141"/>
      <c r="Q26" s="83"/>
      <c r="R26" s="141"/>
      <c r="S26" s="83"/>
      <c r="T26" s="141"/>
      <c r="U26" s="83"/>
      <c r="V26" s="141"/>
      <c r="W26" s="83"/>
      <c r="X26" s="141"/>
      <c r="Y26" s="83"/>
      <c r="Z26" s="85"/>
      <c r="AA26" s="83"/>
      <c r="AB26" s="70"/>
      <c r="AC26" s="83"/>
      <c r="AD26" s="70"/>
      <c r="AE26" s="83"/>
      <c r="AF26" s="70"/>
      <c r="AG26" s="83"/>
      <c r="AH26" s="70"/>
      <c r="AI26" s="83"/>
      <c r="AJ26" s="70"/>
      <c r="AK26" s="83"/>
      <c r="AL26" s="70"/>
      <c r="AM26" s="83"/>
      <c r="AN26" s="70"/>
      <c r="AO26" s="83"/>
      <c r="AP26" s="70"/>
      <c r="AQ26" s="83"/>
      <c r="AR26" s="70"/>
      <c r="AS26" s="41"/>
      <c r="AT26" s="41"/>
      <c r="AU26" s="41"/>
      <c r="AV26" s="41"/>
      <c r="AW26" s="41"/>
      <c r="AX26" s="56"/>
    </row>
    <row r="27" spans="2:51" ht="6" customHeight="1">
      <c r="B27" s="42"/>
      <c r="C27" s="42"/>
      <c r="D27" s="16"/>
      <c r="E27" s="28"/>
      <c r="F27" s="75"/>
      <c r="G27" s="28"/>
      <c r="H27" s="75"/>
      <c r="I27" s="28"/>
      <c r="J27" s="75"/>
      <c r="K27" s="28"/>
      <c r="L27" s="75"/>
      <c r="M27" s="28"/>
      <c r="N27" s="75"/>
      <c r="O27" s="28"/>
      <c r="P27" s="75"/>
      <c r="Q27" s="28"/>
      <c r="R27" s="75"/>
      <c r="S27" s="28"/>
      <c r="T27" s="75"/>
      <c r="U27" s="28"/>
      <c r="V27" s="75"/>
      <c r="W27" s="28"/>
      <c r="X27" s="75"/>
      <c r="Y27" s="28"/>
      <c r="Z27" s="16"/>
      <c r="AA27" s="28"/>
      <c r="AB27" s="16"/>
      <c r="AC27" s="28"/>
      <c r="AD27" s="16"/>
      <c r="AE27" s="28"/>
      <c r="AF27" s="16"/>
      <c r="AG27" s="28"/>
      <c r="AH27" s="16"/>
      <c r="AI27" s="28"/>
      <c r="AJ27" s="16"/>
      <c r="AK27" s="28"/>
      <c r="AL27" s="16"/>
      <c r="AM27" s="28"/>
      <c r="AN27" s="16"/>
      <c r="AO27" s="28"/>
      <c r="AP27" s="16"/>
      <c r="AQ27" s="28"/>
      <c r="AR27" s="16"/>
      <c r="AS27" s="17"/>
      <c r="AT27" s="17"/>
      <c r="AU27" s="17"/>
      <c r="AV27" s="17"/>
      <c r="AW27" s="17"/>
      <c r="AX27" s="16"/>
    </row>
    <row r="28" spans="2:51" ht="10.5" customHeight="1">
      <c r="B28" s="42"/>
      <c r="C28" s="42"/>
      <c r="D28" s="63" t="s">
        <v>378</v>
      </c>
      <c r="E28" s="28"/>
      <c r="F28" s="75"/>
      <c r="G28" s="28"/>
      <c r="H28" s="75"/>
      <c r="I28" s="28"/>
      <c r="J28" s="75"/>
      <c r="K28" s="28"/>
      <c r="L28" s="75"/>
      <c r="M28" s="28"/>
      <c r="N28" s="75"/>
      <c r="O28" s="28"/>
      <c r="P28" s="75"/>
      <c r="Q28" s="28"/>
      <c r="R28" s="75"/>
      <c r="S28" s="28"/>
      <c r="T28" s="75"/>
      <c r="U28" s="28"/>
      <c r="V28" s="75"/>
      <c r="W28" s="28"/>
      <c r="X28" s="75"/>
      <c r="Y28" s="28"/>
      <c r="Z28" s="16"/>
      <c r="AA28" s="28"/>
      <c r="AB28" s="16"/>
      <c r="AC28" s="28"/>
      <c r="AD28" s="16"/>
      <c r="AE28" s="28"/>
      <c r="AF28" s="16"/>
      <c r="AG28" s="28"/>
      <c r="AH28" s="16"/>
      <c r="AI28" s="28"/>
      <c r="AJ28" s="16"/>
      <c r="AK28" s="28"/>
      <c r="AL28" s="16"/>
      <c r="AM28" s="28"/>
      <c r="AN28" s="16"/>
      <c r="AO28" s="28"/>
      <c r="AP28" s="16"/>
      <c r="AQ28" s="28"/>
      <c r="AR28" s="16"/>
      <c r="AS28" s="17"/>
      <c r="AT28" s="17"/>
      <c r="AU28" s="17"/>
      <c r="AV28" s="17"/>
      <c r="AW28" s="17"/>
      <c r="AX28" s="63" t="s">
        <v>379</v>
      </c>
    </row>
    <row r="29" spans="2:51" ht="6.6" customHeight="1">
      <c r="B29" s="42"/>
      <c r="C29" s="42"/>
      <c r="D29" s="16"/>
      <c r="E29" s="28"/>
      <c r="F29" s="75"/>
      <c r="G29" s="28"/>
      <c r="H29" s="75"/>
      <c r="I29" s="28"/>
      <c r="J29" s="75"/>
      <c r="K29" s="28"/>
      <c r="L29" s="75"/>
      <c r="M29" s="28"/>
      <c r="N29" s="75"/>
      <c r="O29" s="28"/>
      <c r="P29" s="75"/>
      <c r="Q29" s="28"/>
      <c r="R29" s="75"/>
      <c r="S29" s="28"/>
      <c r="T29" s="75"/>
      <c r="U29" s="28"/>
      <c r="V29" s="75"/>
      <c r="W29" s="28"/>
      <c r="X29" s="75"/>
      <c r="Y29" s="28"/>
      <c r="Z29" s="16"/>
      <c r="AA29" s="28"/>
      <c r="AB29" s="16"/>
      <c r="AC29" s="28"/>
      <c r="AD29" s="16"/>
      <c r="AE29" s="28"/>
      <c r="AF29" s="16"/>
      <c r="AG29" s="28"/>
      <c r="AH29" s="16"/>
      <c r="AI29" s="28"/>
      <c r="AJ29" s="16"/>
      <c r="AK29" s="28"/>
      <c r="AL29" s="16"/>
      <c r="AM29" s="28"/>
      <c r="AN29" s="16"/>
      <c r="AO29" s="28"/>
      <c r="AP29" s="16"/>
      <c r="AQ29" s="28"/>
      <c r="AR29" s="16"/>
      <c r="AS29" s="17"/>
      <c r="AT29" s="17"/>
      <c r="AU29" s="17"/>
      <c r="AV29" s="17"/>
      <c r="AW29" s="17"/>
      <c r="AX29" s="16"/>
    </row>
    <row r="30" spans="2:51" ht="10.5" customHeight="1">
      <c r="B30" s="42"/>
      <c r="C30" s="42"/>
      <c r="D30" s="63" t="s">
        <v>380</v>
      </c>
      <c r="E30" s="28"/>
      <c r="F30" s="75"/>
      <c r="G30" s="28"/>
      <c r="H30" s="75"/>
      <c r="I30" s="28"/>
      <c r="J30" s="75"/>
      <c r="K30" s="28"/>
      <c r="L30" s="75"/>
      <c r="M30" s="28"/>
      <c r="N30" s="75"/>
      <c r="O30" s="28"/>
      <c r="P30" s="75"/>
      <c r="Q30" s="28"/>
      <c r="R30" s="75"/>
      <c r="S30" s="28"/>
      <c r="T30" s="75"/>
      <c r="U30" s="28"/>
      <c r="V30" s="75"/>
      <c r="W30" s="28"/>
      <c r="X30" s="75"/>
      <c r="Y30" s="28"/>
      <c r="Z30" s="16"/>
      <c r="AA30" s="28"/>
      <c r="AB30" s="16"/>
      <c r="AC30" s="28"/>
      <c r="AD30" s="16"/>
      <c r="AE30" s="28"/>
      <c r="AF30" s="16"/>
      <c r="AG30" s="28"/>
      <c r="AH30" s="16"/>
      <c r="AI30" s="28"/>
      <c r="AJ30" s="16"/>
      <c r="AK30" s="28"/>
      <c r="AL30" s="16"/>
      <c r="AM30" s="28"/>
      <c r="AN30" s="16"/>
      <c r="AO30" s="28"/>
      <c r="AP30" s="16"/>
      <c r="AQ30" s="28"/>
      <c r="AR30" s="16"/>
      <c r="AS30" s="17"/>
      <c r="AT30" s="17"/>
      <c r="AU30" s="17"/>
      <c r="AV30" s="17"/>
      <c r="AW30" s="17"/>
      <c r="AX30" s="63" t="s">
        <v>381</v>
      </c>
    </row>
    <row r="31" spans="2:51" ht="10.5" customHeight="1">
      <c r="B31" s="42">
        <v>12</v>
      </c>
      <c r="C31" s="42"/>
      <c r="D31" s="16" t="s">
        <v>357</v>
      </c>
      <c r="E31" s="28">
        <v>30982</v>
      </c>
      <c r="F31" s="75"/>
      <c r="G31" s="28">
        <v>32364</v>
      </c>
      <c r="H31" s="75"/>
      <c r="I31" s="28">
        <v>30593</v>
      </c>
      <c r="J31" s="75"/>
      <c r="K31" s="28">
        <v>27985</v>
      </c>
      <c r="L31" s="75"/>
      <c r="M31" s="28">
        <v>22908</v>
      </c>
      <c r="N31" s="75"/>
      <c r="O31" s="28">
        <v>22200</v>
      </c>
      <c r="P31" s="75"/>
      <c r="Q31" s="28">
        <v>21082</v>
      </c>
      <c r="R31" s="75"/>
      <c r="S31" s="28">
        <v>21016</v>
      </c>
      <c r="T31" s="75"/>
      <c r="U31" s="28">
        <v>20834</v>
      </c>
      <c r="V31" s="75"/>
      <c r="W31" s="28">
        <v>20998</v>
      </c>
      <c r="X31" s="75"/>
      <c r="Y31" s="28">
        <v>21004</v>
      </c>
      <c r="Z31" s="23"/>
      <c r="AA31" s="28">
        <v>22095</v>
      </c>
      <c r="AB31" s="16"/>
      <c r="AC31" s="28">
        <v>23727</v>
      </c>
      <c r="AD31" s="16"/>
      <c r="AE31" s="28">
        <v>23069</v>
      </c>
      <c r="AF31" s="23"/>
      <c r="AG31" s="28">
        <v>23330</v>
      </c>
      <c r="AH31" s="23"/>
      <c r="AI31" s="28">
        <v>23904</v>
      </c>
      <c r="AJ31" s="23"/>
      <c r="AK31" s="28">
        <v>25232</v>
      </c>
      <c r="AL31" s="23"/>
      <c r="AM31" s="28">
        <v>22836</v>
      </c>
      <c r="AN31" s="23"/>
      <c r="AO31" s="28">
        <v>22453</v>
      </c>
      <c r="AP31" s="23"/>
      <c r="AQ31" s="28">
        <v>19508</v>
      </c>
      <c r="AR31" s="23"/>
      <c r="AS31" s="28">
        <v>22262</v>
      </c>
      <c r="AT31" s="17"/>
      <c r="AU31" s="28">
        <v>24730</v>
      </c>
      <c r="AV31" s="17"/>
      <c r="AW31" s="17"/>
      <c r="AX31" s="16" t="s">
        <v>358</v>
      </c>
    </row>
    <row r="32" spans="2:51" ht="10.5" customHeight="1">
      <c r="B32" s="42">
        <v>13</v>
      </c>
      <c r="C32" s="42"/>
      <c r="D32" s="16" t="s">
        <v>382</v>
      </c>
      <c r="E32" s="28">
        <v>73088</v>
      </c>
      <c r="F32" s="75"/>
      <c r="G32" s="28">
        <v>78869</v>
      </c>
      <c r="H32" s="75"/>
      <c r="I32" s="28">
        <v>85177</v>
      </c>
      <c r="J32" s="75"/>
      <c r="K32" s="28">
        <v>87078</v>
      </c>
      <c r="L32" s="75"/>
      <c r="M32" s="28">
        <v>86980</v>
      </c>
      <c r="N32" s="75"/>
      <c r="O32" s="28">
        <v>95009</v>
      </c>
      <c r="P32" s="75"/>
      <c r="Q32" s="28">
        <v>98181</v>
      </c>
      <c r="R32" s="75"/>
      <c r="S32" s="28">
        <v>107282</v>
      </c>
      <c r="T32" s="75"/>
      <c r="U32" s="28">
        <v>115249</v>
      </c>
      <c r="V32" s="75"/>
      <c r="W32" s="28">
        <v>113319</v>
      </c>
      <c r="X32" s="75"/>
      <c r="Y32" s="28">
        <v>117601</v>
      </c>
      <c r="Z32" s="23"/>
      <c r="AA32" s="28">
        <v>121719</v>
      </c>
      <c r="AB32" s="16"/>
      <c r="AC32" s="28">
        <v>144604</v>
      </c>
      <c r="AD32" s="16"/>
      <c r="AE32" s="28">
        <v>149474</v>
      </c>
      <c r="AF32" s="23"/>
      <c r="AG32" s="28">
        <v>156736</v>
      </c>
      <c r="AH32" s="23"/>
      <c r="AI32" s="28">
        <v>158652</v>
      </c>
      <c r="AJ32" s="23"/>
      <c r="AK32" s="28">
        <v>162284</v>
      </c>
      <c r="AL32" s="23"/>
      <c r="AM32" s="28">
        <v>166785</v>
      </c>
      <c r="AN32" s="23"/>
      <c r="AO32" s="262">
        <v>168690</v>
      </c>
      <c r="AP32" s="23"/>
      <c r="AQ32" s="28">
        <v>171941</v>
      </c>
      <c r="AR32" s="23"/>
      <c r="AS32" s="28">
        <v>184939</v>
      </c>
      <c r="AT32" s="17"/>
      <c r="AU32" s="28">
        <v>189761</v>
      </c>
      <c r="AV32" s="17"/>
      <c r="AW32" s="17"/>
      <c r="AX32" s="16" t="s">
        <v>383</v>
      </c>
      <c r="AY32" s="82"/>
    </row>
    <row r="33" spans="2:51" ht="10.5" customHeight="1">
      <c r="B33" s="42">
        <v>14</v>
      </c>
      <c r="C33" s="42"/>
      <c r="D33" s="24" t="s">
        <v>373</v>
      </c>
      <c r="E33" s="28">
        <v>14048</v>
      </c>
      <c r="F33" s="75"/>
      <c r="G33" s="28">
        <v>14378</v>
      </c>
      <c r="H33" s="75"/>
      <c r="I33" s="28">
        <v>18842</v>
      </c>
      <c r="J33" s="75"/>
      <c r="K33" s="28">
        <v>19210</v>
      </c>
      <c r="L33" s="75"/>
      <c r="M33" s="28">
        <v>19332</v>
      </c>
      <c r="N33" s="75"/>
      <c r="O33" s="28">
        <v>24954</v>
      </c>
      <c r="P33" s="75"/>
      <c r="Q33" s="28">
        <v>26599</v>
      </c>
      <c r="R33" s="75"/>
      <c r="S33" s="28">
        <v>27019</v>
      </c>
      <c r="T33" s="75"/>
      <c r="U33" s="28">
        <v>27982</v>
      </c>
      <c r="V33" s="75"/>
      <c r="W33" s="28">
        <v>28002</v>
      </c>
      <c r="X33" s="75"/>
      <c r="Y33" s="28">
        <v>28558</v>
      </c>
      <c r="Z33" s="23"/>
      <c r="AA33" s="28">
        <v>30339</v>
      </c>
      <c r="AB33" s="200"/>
      <c r="AC33" s="28">
        <v>35906</v>
      </c>
      <c r="AD33" s="200"/>
      <c r="AE33" s="28">
        <v>38873</v>
      </c>
      <c r="AF33" s="23"/>
      <c r="AG33" s="28">
        <v>39149</v>
      </c>
      <c r="AH33" s="23"/>
      <c r="AI33" s="28">
        <v>40625</v>
      </c>
      <c r="AJ33" s="23"/>
      <c r="AK33" s="28">
        <v>40625</v>
      </c>
      <c r="AL33" s="23"/>
      <c r="AM33" s="28">
        <v>41537</v>
      </c>
      <c r="AN33" s="23"/>
      <c r="AO33" s="28">
        <v>39765</v>
      </c>
      <c r="AP33" s="23"/>
      <c r="AQ33" s="28">
        <v>41537</v>
      </c>
      <c r="AR33" s="23"/>
      <c r="AS33" s="28">
        <v>54957</v>
      </c>
      <c r="AT33" s="17"/>
      <c r="AU33" s="28">
        <v>58645</v>
      </c>
      <c r="AV33" s="17"/>
      <c r="AW33" s="17"/>
      <c r="AX33" s="24" t="s">
        <v>374</v>
      </c>
      <c r="AY33" s="82"/>
    </row>
    <row r="34" spans="2:51" ht="10.5" customHeight="1">
      <c r="B34" s="42"/>
      <c r="C34" s="42"/>
      <c r="D34" s="24"/>
      <c r="E34" s="28"/>
      <c r="F34" s="75"/>
      <c r="G34" s="28"/>
      <c r="H34" s="75"/>
      <c r="I34" s="28"/>
      <c r="J34" s="75"/>
      <c r="K34" s="28"/>
      <c r="L34" s="75"/>
      <c r="M34" s="28"/>
      <c r="N34" s="75"/>
      <c r="O34" s="28"/>
      <c r="P34" s="75"/>
      <c r="Q34" s="28"/>
      <c r="R34" s="75"/>
      <c r="S34" s="28"/>
      <c r="T34" s="75"/>
      <c r="U34" s="28"/>
      <c r="V34" s="75"/>
      <c r="W34" s="28"/>
      <c r="X34" s="75"/>
      <c r="Y34" s="28"/>
      <c r="Z34" s="23"/>
      <c r="AA34" s="28"/>
      <c r="AB34" s="28"/>
      <c r="AC34" s="28"/>
      <c r="AD34" s="28"/>
      <c r="AE34" s="28"/>
      <c r="AF34" s="28"/>
      <c r="AG34" s="28"/>
      <c r="AH34" s="28"/>
      <c r="AI34" s="28"/>
      <c r="AJ34" s="28"/>
      <c r="AK34" s="28"/>
      <c r="AL34" s="16"/>
      <c r="AM34" s="28"/>
      <c r="AN34" s="16"/>
      <c r="AO34" s="28"/>
      <c r="AP34" s="16"/>
      <c r="AQ34" s="28"/>
      <c r="AR34" s="16"/>
      <c r="AS34" s="28"/>
      <c r="AT34" s="17"/>
      <c r="AU34" s="28"/>
      <c r="AV34" s="17"/>
      <c r="AW34" s="17"/>
      <c r="AX34" s="24" t="s">
        <v>375</v>
      </c>
    </row>
    <row r="35" spans="2:51" ht="10.5" customHeight="1">
      <c r="B35" s="42">
        <v>15</v>
      </c>
      <c r="C35" s="42"/>
      <c r="D35" s="18" t="s">
        <v>231</v>
      </c>
      <c r="E35" s="65">
        <v>104070</v>
      </c>
      <c r="F35" s="133"/>
      <c r="G35" s="65">
        <v>111233</v>
      </c>
      <c r="H35" s="133"/>
      <c r="I35" s="65">
        <v>115770</v>
      </c>
      <c r="J35" s="133"/>
      <c r="K35" s="65">
        <v>115063</v>
      </c>
      <c r="L35" s="133"/>
      <c r="M35" s="65">
        <v>109888</v>
      </c>
      <c r="N35" s="133"/>
      <c r="O35" s="65">
        <v>117209</v>
      </c>
      <c r="P35" s="133"/>
      <c r="Q35" s="65">
        <v>119263</v>
      </c>
      <c r="R35" s="133"/>
      <c r="S35" s="65">
        <v>128298</v>
      </c>
      <c r="T35" s="133"/>
      <c r="U35" s="65">
        <v>136083</v>
      </c>
      <c r="V35" s="133"/>
      <c r="W35" s="65">
        <v>134317</v>
      </c>
      <c r="X35" s="133"/>
      <c r="Y35" s="65">
        <v>138605</v>
      </c>
      <c r="Z35" s="67"/>
      <c r="AA35" s="65">
        <v>143814</v>
      </c>
      <c r="AB35" s="16"/>
      <c r="AC35" s="65">
        <v>168331</v>
      </c>
      <c r="AD35" s="16"/>
      <c r="AE35" s="65">
        <v>172543</v>
      </c>
      <c r="AF35" s="23"/>
      <c r="AG35" s="65">
        <v>180066</v>
      </c>
      <c r="AH35" s="23"/>
      <c r="AI35" s="65">
        <v>182556</v>
      </c>
      <c r="AJ35" s="23"/>
      <c r="AK35" s="65">
        <v>187516</v>
      </c>
      <c r="AL35" s="16"/>
      <c r="AM35" s="65">
        <v>189621</v>
      </c>
      <c r="AN35" s="16"/>
      <c r="AO35" s="65">
        <v>191143</v>
      </c>
      <c r="AP35" s="16"/>
      <c r="AQ35" s="65">
        <v>191449</v>
      </c>
      <c r="AR35" s="16"/>
      <c r="AS35" s="65">
        <v>207201</v>
      </c>
      <c r="AT35" s="17"/>
      <c r="AU35" s="65">
        <v>214491</v>
      </c>
      <c r="AV35" s="17"/>
      <c r="AW35" s="17"/>
      <c r="AX35" s="18" t="s">
        <v>84</v>
      </c>
    </row>
    <row r="36" spans="2:51" ht="6.6" customHeight="1">
      <c r="B36" s="42"/>
      <c r="C36" s="42"/>
      <c r="D36" s="16"/>
      <c r="E36" s="28"/>
      <c r="F36" s="75"/>
      <c r="G36" s="28"/>
      <c r="H36" s="75"/>
      <c r="I36" s="28"/>
      <c r="J36" s="75"/>
      <c r="K36" s="28"/>
      <c r="L36" s="75"/>
      <c r="M36" s="28"/>
      <c r="N36" s="75"/>
      <c r="O36" s="28"/>
      <c r="P36" s="75"/>
      <c r="Q36" s="28"/>
      <c r="R36" s="75"/>
      <c r="S36" s="28"/>
      <c r="T36" s="75"/>
      <c r="U36" s="28"/>
      <c r="V36" s="75"/>
      <c r="W36" s="28"/>
      <c r="X36" s="75"/>
      <c r="Y36" s="28"/>
      <c r="Z36" s="23"/>
      <c r="AA36" s="28"/>
      <c r="AB36" s="16"/>
      <c r="AC36" s="28"/>
      <c r="AD36" s="16"/>
      <c r="AE36" s="28"/>
      <c r="AF36" s="23"/>
      <c r="AG36" s="28"/>
      <c r="AH36" s="23"/>
      <c r="AI36" s="28"/>
      <c r="AJ36" s="16"/>
      <c r="AK36" s="28"/>
      <c r="AL36" s="16"/>
      <c r="AM36" s="28"/>
      <c r="AN36" s="16"/>
      <c r="AO36" s="28"/>
      <c r="AP36" s="16"/>
      <c r="AQ36" s="28"/>
      <c r="AR36" s="16"/>
      <c r="AS36" s="28"/>
      <c r="AT36" s="17"/>
      <c r="AU36" s="28"/>
      <c r="AV36" s="17"/>
      <c r="AW36" s="17"/>
      <c r="AX36" s="16"/>
    </row>
    <row r="37" spans="2:51" ht="10.5" customHeight="1">
      <c r="B37" s="42"/>
      <c r="C37" s="42"/>
      <c r="D37" s="63" t="s">
        <v>384</v>
      </c>
      <c r="E37" s="28"/>
      <c r="F37" s="75"/>
      <c r="G37" s="28"/>
      <c r="H37" s="75"/>
      <c r="I37" s="28"/>
      <c r="J37" s="75"/>
      <c r="K37" s="28"/>
      <c r="L37" s="75"/>
      <c r="M37" s="28"/>
      <c r="N37" s="75"/>
      <c r="O37" s="28"/>
      <c r="P37" s="75"/>
      <c r="Q37" s="28"/>
      <c r="R37" s="75"/>
      <c r="S37" s="28"/>
      <c r="T37" s="75"/>
      <c r="U37" s="28"/>
      <c r="V37" s="75"/>
      <c r="W37" s="28"/>
      <c r="X37" s="75"/>
      <c r="Y37" s="28"/>
      <c r="Z37" s="23"/>
      <c r="AA37" s="28"/>
      <c r="AB37" s="16"/>
      <c r="AC37" s="28"/>
      <c r="AD37" s="16"/>
      <c r="AE37" s="28"/>
      <c r="AF37" s="23"/>
      <c r="AG37" s="28"/>
      <c r="AH37" s="23"/>
      <c r="AI37" s="28"/>
      <c r="AJ37" s="16"/>
      <c r="AK37" s="28"/>
      <c r="AL37" s="16"/>
      <c r="AM37" s="28"/>
      <c r="AN37" s="16"/>
      <c r="AO37" s="28"/>
      <c r="AP37" s="16"/>
      <c r="AQ37" s="28"/>
      <c r="AR37" s="16"/>
      <c r="AS37" s="28"/>
      <c r="AT37" s="17"/>
      <c r="AU37" s="28"/>
      <c r="AV37" s="17"/>
      <c r="AW37" s="17"/>
      <c r="AX37" s="63" t="s">
        <v>385</v>
      </c>
    </row>
    <row r="38" spans="2:51" ht="10.5" customHeight="1">
      <c r="B38" s="42">
        <v>16</v>
      </c>
      <c r="C38" s="42"/>
      <c r="D38" s="16" t="s">
        <v>361</v>
      </c>
      <c r="E38" s="28">
        <v>2596</v>
      </c>
      <c r="F38" s="75"/>
      <c r="G38" s="28">
        <v>2596</v>
      </c>
      <c r="H38" s="75"/>
      <c r="I38" s="28">
        <v>2596</v>
      </c>
      <c r="J38" s="75"/>
      <c r="K38" s="28">
        <v>2185</v>
      </c>
      <c r="L38" s="75"/>
      <c r="M38" s="28">
        <v>2133</v>
      </c>
      <c r="N38" s="75"/>
      <c r="O38" s="28">
        <v>2185</v>
      </c>
      <c r="P38" s="75"/>
      <c r="Q38" s="28">
        <v>2185</v>
      </c>
      <c r="R38" s="75"/>
      <c r="S38" s="28">
        <v>2185</v>
      </c>
      <c r="T38" s="75"/>
      <c r="U38" s="28">
        <v>2341</v>
      </c>
      <c r="V38" s="75"/>
      <c r="W38" s="28">
        <v>2341</v>
      </c>
      <c r="X38" s="75"/>
      <c r="Y38" s="28">
        <v>2341</v>
      </c>
      <c r="Z38" s="23"/>
      <c r="AA38" s="28">
        <v>1939</v>
      </c>
      <c r="AB38" s="16"/>
      <c r="AC38" s="28">
        <v>1939</v>
      </c>
      <c r="AD38" s="16"/>
      <c r="AE38" s="28">
        <v>1939</v>
      </c>
      <c r="AF38" s="23"/>
      <c r="AG38" s="28">
        <v>1939</v>
      </c>
      <c r="AH38" s="23"/>
      <c r="AI38" s="28">
        <v>1939</v>
      </c>
      <c r="AJ38" s="16"/>
      <c r="AK38" s="28">
        <v>1939</v>
      </c>
      <c r="AL38" s="16"/>
      <c r="AM38" s="28">
        <v>1939</v>
      </c>
      <c r="AN38" s="16"/>
      <c r="AO38" s="28">
        <v>1907</v>
      </c>
      <c r="AP38" s="16"/>
      <c r="AQ38" s="28">
        <v>1869</v>
      </c>
      <c r="AR38" s="16"/>
      <c r="AS38" s="28">
        <v>2024</v>
      </c>
      <c r="AT38" s="17"/>
      <c r="AU38" s="28">
        <v>2159</v>
      </c>
      <c r="AV38" s="17"/>
      <c r="AW38" s="17"/>
      <c r="AX38" s="16" t="s">
        <v>362</v>
      </c>
    </row>
    <row r="39" spans="2:51" ht="10.5" customHeight="1">
      <c r="B39" s="42">
        <v>17</v>
      </c>
      <c r="C39" s="42"/>
      <c r="D39" s="16" t="s">
        <v>359</v>
      </c>
      <c r="E39" s="28">
        <v>4458</v>
      </c>
      <c r="F39" s="75"/>
      <c r="G39" s="28">
        <v>4458</v>
      </c>
      <c r="H39" s="75"/>
      <c r="I39" s="28">
        <v>4566</v>
      </c>
      <c r="J39" s="75"/>
      <c r="K39" s="28">
        <v>4350</v>
      </c>
      <c r="L39" s="75"/>
      <c r="M39" s="28">
        <v>4026</v>
      </c>
      <c r="N39" s="75"/>
      <c r="O39" s="28">
        <v>4302</v>
      </c>
      <c r="P39" s="75"/>
      <c r="Q39" s="28">
        <v>4302</v>
      </c>
      <c r="R39" s="75"/>
      <c r="S39" s="28">
        <v>3978</v>
      </c>
      <c r="T39" s="75"/>
      <c r="U39" s="28">
        <v>4410</v>
      </c>
      <c r="V39" s="75"/>
      <c r="W39" s="28">
        <v>4410</v>
      </c>
      <c r="X39" s="75"/>
      <c r="Y39" s="28">
        <v>4410</v>
      </c>
      <c r="Z39" s="23"/>
      <c r="AA39" s="28">
        <v>2826</v>
      </c>
      <c r="AB39" s="16"/>
      <c r="AC39" s="28">
        <v>2994</v>
      </c>
      <c r="AD39" s="16"/>
      <c r="AE39" s="28">
        <v>3234</v>
      </c>
      <c r="AF39" s="23"/>
      <c r="AG39" s="28">
        <v>3474</v>
      </c>
      <c r="AH39" s="23"/>
      <c r="AI39" s="28">
        <v>3474</v>
      </c>
      <c r="AJ39" s="16"/>
      <c r="AK39" s="28">
        <v>3474</v>
      </c>
      <c r="AL39" s="16"/>
      <c r="AM39" s="28">
        <v>3369</v>
      </c>
      <c r="AN39" s="16"/>
      <c r="AO39" s="28">
        <v>3099</v>
      </c>
      <c r="AP39" s="16"/>
      <c r="AQ39" s="28">
        <v>3499</v>
      </c>
      <c r="AR39" s="16"/>
      <c r="AS39" s="28">
        <v>3768</v>
      </c>
      <c r="AT39" s="17"/>
      <c r="AU39" s="28">
        <v>3570</v>
      </c>
      <c r="AV39" s="17"/>
      <c r="AW39" s="17"/>
      <c r="AX39" s="16" t="s">
        <v>360</v>
      </c>
    </row>
    <row r="40" spans="2:51" ht="10.5" customHeight="1">
      <c r="B40" s="42">
        <v>18</v>
      </c>
      <c r="C40" s="42"/>
      <c r="D40" s="18" t="s">
        <v>231</v>
      </c>
      <c r="E40" s="65">
        <v>7054</v>
      </c>
      <c r="F40" s="133"/>
      <c r="G40" s="65">
        <v>7054</v>
      </c>
      <c r="H40" s="133"/>
      <c r="I40" s="65">
        <v>7162</v>
      </c>
      <c r="J40" s="133"/>
      <c r="K40" s="65">
        <v>6535</v>
      </c>
      <c r="L40" s="133"/>
      <c r="M40" s="65">
        <v>6159</v>
      </c>
      <c r="N40" s="133"/>
      <c r="O40" s="65">
        <v>6487</v>
      </c>
      <c r="P40" s="133"/>
      <c r="Q40" s="65">
        <v>6487</v>
      </c>
      <c r="R40" s="133"/>
      <c r="S40" s="65">
        <v>6163</v>
      </c>
      <c r="T40" s="133"/>
      <c r="U40" s="65">
        <v>6751</v>
      </c>
      <c r="V40" s="133"/>
      <c r="W40" s="65">
        <v>6751</v>
      </c>
      <c r="X40" s="133"/>
      <c r="Y40" s="65">
        <v>6751</v>
      </c>
      <c r="Z40" s="67"/>
      <c r="AA40" s="65">
        <v>4765</v>
      </c>
      <c r="AB40" s="16"/>
      <c r="AC40" s="65">
        <v>4933</v>
      </c>
      <c r="AD40" s="16"/>
      <c r="AE40" s="65">
        <v>5173</v>
      </c>
      <c r="AF40" s="23"/>
      <c r="AG40" s="65">
        <v>5413</v>
      </c>
      <c r="AH40" s="23"/>
      <c r="AI40" s="65">
        <v>5413</v>
      </c>
      <c r="AJ40" s="16"/>
      <c r="AK40" s="65">
        <v>5413</v>
      </c>
      <c r="AL40" s="16"/>
      <c r="AM40" s="65">
        <v>5308</v>
      </c>
      <c r="AN40" s="16"/>
      <c r="AO40" s="65">
        <v>5006</v>
      </c>
      <c r="AP40" s="16"/>
      <c r="AQ40" s="65">
        <v>5368</v>
      </c>
      <c r="AR40" s="16"/>
      <c r="AS40" s="65">
        <v>5792</v>
      </c>
      <c r="AT40" s="17"/>
      <c r="AU40" s="65">
        <v>5729</v>
      </c>
      <c r="AV40" s="17"/>
      <c r="AW40" s="17"/>
      <c r="AX40" s="18" t="s">
        <v>84</v>
      </c>
    </row>
    <row r="41" spans="2:51" ht="6.6" customHeight="1">
      <c r="B41" s="42"/>
      <c r="C41" s="42"/>
      <c r="D41" s="16"/>
      <c r="E41" s="28"/>
      <c r="F41" s="75"/>
      <c r="G41" s="28"/>
      <c r="H41" s="75"/>
      <c r="I41" s="28"/>
      <c r="J41" s="75"/>
      <c r="K41" s="28"/>
      <c r="L41" s="75"/>
      <c r="M41" s="28"/>
      <c r="N41" s="75"/>
      <c r="O41" s="28"/>
      <c r="P41" s="75"/>
      <c r="Q41" s="28"/>
      <c r="R41" s="75"/>
      <c r="S41" s="28"/>
      <c r="T41" s="75"/>
      <c r="U41" s="28"/>
      <c r="V41" s="75"/>
      <c r="W41" s="28"/>
      <c r="X41" s="75"/>
      <c r="Y41" s="28"/>
      <c r="Z41" s="23"/>
      <c r="AA41" s="28"/>
      <c r="AB41" s="16"/>
      <c r="AC41" s="28"/>
      <c r="AD41" s="16"/>
      <c r="AE41" s="28"/>
      <c r="AF41" s="23"/>
      <c r="AG41" s="28"/>
      <c r="AH41" s="23"/>
      <c r="AI41" s="28"/>
      <c r="AJ41" s="16"/>
      <c r="AK41" s="28"/>
      <c r="AL41" s="16"/>
      <c r="AM41" s="28"/>
      <c r="AN41" s="16"/>
      <c r="AO41" s="28"/>
      <c r="AP41" s="16"/>
      <c r="AQ41" s="28"/>
      <c r="AR41" s="16"/>
      <c r="AS41" s="28"/>
      <c r="AT41" s="17"/>
      <c r="AU41" s="28"/>
      <c r="AV41" s="17"/>
      <c r="AW41" s="17"/>
      <c r="AX41" s="16"/>
    </row>
    <row r="42" spans="2:51" ht="10.5" customHeight="1">
      <c r="B42" s="42">
        <v>19</v>
      </c>
      <c r="C42" s="42"/>
      <c r="D42" s="18" t="s">
        <v>386</v>
      </c>
      <c r="E42" s="65">
        <v>111124</v>
      </c>
      <c r="F42" s="133"/>
      <c r="G42" s="65">
        <v>118287</v>
      </c>
      <c r="H42" s="133"/>
      <c r="I42" s="65">
        <v>122932</v>
      </c>
      <c r="J42" s="133"/>
      <c r="K42" s="65">
        <v>121598</v>
      </c>
      <c r="L42" s="133"/>
      <c r="M42" s="65">
        <v>116047</v>
      </c>
      <c r="N42" s="133"/>
      <c r="O42" s="65">
        <v>123696</v>
      </c>
      <c r="P42" s="133"/>
      <c r="Q42" s="65">
        <v>125750</v>
      </c>
      <c r="R42" s="133"/>
      <c r="S42" s="65">
        <v>134461</v>
      </c>
      <c r="T42" s="133"/>
      <c r="U42" s="65">
        <v>142834</v>
      </c>
      <c r="V42" s="133"/>
      <c r="W42" s="65">
        <v>141068</v>
      </c>
      <c r="X42" s="133"/>
      <c r="Y42" s="65">
        <v>145356</v>
      </c>
      <c r="Z42" s="67"/>
      <c r="AA42" s="65">
        <v>148579</v>
      </c>
      <c r="AB42" s="16"/>
      <c r="AC42" s="65">
        <v>173264</v>
      </c>
      <c r="AD42" s="16"/>
      <c r="AE42" s="65">
        <v>177716</v>
      </c>
      <c r="AF42" s="23"/>
      <c r="AG42" s="65">
        <v>185479</v>
      </c>
      <c r="AH42" s="23"/>
      <c r="AI42" s="65">
        <v>187969</v>
      </c>
      <c r="AJ42" s="23"/>
      <c r="AK42" s="65">
        <v>192929</v>
      </c>
      <c r="AL42" s="16"/>
      <c r="AM42" s="65">
        <v>194929</v>
      </c>
      <c r="AN42" s="16"/>
      <c r="AO42" s="65">
        <v>196149</v>
      </c>
      <c r="AP42" s="16"/>
      <c r="AQ42" s="65">
        <v>196817</v>
      </c>
      <c r="AR42" s="16"/>
      <c r="AS42" s="65">
        <v>212993</v>
      </c>
      <c r="AT42" s="17"/>
      <c r="AU42" s="65">
        <v>220220</v>
      </c>
      <c r="AV42" s="17"/>
      <c r="AW42" s="17"/>
      <c r="AX42" s="18" t="s">
        <v>387</v>
      </c>
    </row>
    <row r="43" spans="2:51" ht="4.5" customHeight="1">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4"/>
      <c r="AB43" s="107"/>
      <c r="AC43" s="107"/>
      <c r="AD43" s="107"/>
      <c r="AE43" s="4"/>
      <c r="AF43" s="107"/>
      <c r="AG43" s="4"/>
      <c r="AH43" s="107"/>
      <c r="AI43" s="4"/>
      <c r="AJ43" s="107"/>
      <c r="AK43" s="4"/>
      <c r="AL43" s="107"/>
      <c r="AM43" s="4"/>
      <c r="AN43" s="107"/>
      <c r="AO43" s="4"/>
      <c r="AP43" s="107"/>
      <c r="AQ43" s="4"/>
      <c r="AR43" s="107"/>
      <c r="AS43" s="107"/>
      <c r="AT43" s="107"/>
      <c r="AU43" s="107"/>
      <c r="AV43" s="107"/>
      <c r="AW43" s="107"/>
      <c r="AX43" s="107"/>
    </row>
    <row r="44" spans="2:51">
      <c r="B44" s="52"/>
    </row>
    <row r="45" spans="2:51">
      <c r="B45" s="52"/>
    </row>
    <row r="46" spans="2:51">
      <c r="B46" s="52"/>
    </row>
    <row r="47" spans="2:51">
      <c r="B47" s="52"/>
    </row>
    <row r="49" spans="2:52">
      <c r="B49" s="10" t="s">
        <v>1112</v>
      </c>
    </row>
    <row r="50" spans="2:52">
      <c r="B50" s="156" t="s">
        <v>1113</v>
      </c>
    </row>
    <row r="51" spans="2:52" ht="6" customHeight="1">
      <c r="B51" s="62"/>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row>
    <row r="52" spans="2:52" ht="6" customHeight="1"/>
    <row r="53" spans="2:52" ht="13.5" customHeight="1">
      <c r="B53" s="523" t="s">
        <v>519</v>
      </c>
      <c r="C53" s="523"/>
      <c r="D53" s="523"/>
      <c r="E53" s="281">
        <v>2000</v>
      </c>
      <c r="F53" s="404"/>
      <c r="G53" s="281">
        <v>2001</v>
      </c>
      <c r="H53" s="404"/>
      <c r="I53" s="281">
        <v>2002</v>
      </c>
      <c r="J53" s="404"/>
      <c r="K53" s="281">
        <v>2003</v>
      </c>
      <c r="L53" s="404"/>
      <c r="M53" s="281">
        <v>2004</v>
      </c>
      <c r="N53" s="404"/>
      <c r="O53" s="281">
        <v>2005</v>
      </c>
      <c r="P53" s="404"/>
      <c r="Q53" s="281">
        <v>2006</v>
      </c>
      <c r="R53" s="404"/>
      <c r="S53" s="281">
        <v>2007</v>
      </c>
      <c r="T53" s="404"/>
      <c r="U53" s="281">
        <v>2008</v>
      </c>
      <c r="V53" s="404"/>
      <c r="W53" s="281">
        <v>2009</v>
      </c>
      <c r="X53" s="404"/>
      <c r="Y53" s="281">
        <v>2010</v>
      </c>
      <c r="Z53" s="404"/>
      <c r="AA53" s="281">
        <v>2011</v>
      </c>
      <c r="AB53" s="404"/>
      <c r="AC53" s="281">
        <v>2012</v>
      </c>
      <c r="AD53" s="404"/>
      <c r="AE53" s="281">
        <v>2013</v>
      </c>
      <c r="AF53" s="404"/>
      <c r="AG53" s="281">
        <v>2014</v>
      </c>
      <c r="AH53" s="404"/>
      <c r="AI53" s="281">
        <v>2015</v>
      </c>
      <c r="AJ53" s="404"/>
      <c r="AK53" s="281">
        <v>2016</v>
      </c>
      <c r="AL53" s="404"/>
      <c r="AM53" s="281">
        <v>2017</v>
      </c>
      <c r="AN53" s="404"/>
      <c r="AO53" s="281">
        <v>2018</v>
      </c>
      <c r="AP53" s="404"/>
      <c r="AQ53" s="281">
        <v>2019</v>
      </c>
      <c r="AR53" s="404"/>
      <c r="AS53" s="281">
        <v>2020</v>
      </c>
      <c r="AT53" s="404"/>
      <c r="AU53" s="281">
        <v>2021</v>
      </c>
      <c r="AV53" s="404"/>
      <c r="AX53" s="63" t="s">
        <v>520</v>
      </c>
    </row>
    <row r="54" spans="2:52" ht="6" customHeight="1">
      <c r="B54" s="79"/>
      <c r="C54" s="79"/>
      <c r="D54" s="79"/>
      <c r="E54" s="80"/>
      <c r="F54" s="81"/>
      <c r="G54" s="80"/>
      <c r="H54" s="81"/>
      <c r="I54" s="80"/>
      <c r="J54" s="81"/>
      <c r="K54" s="80"/>
      <c r="L54" s="81"/>
      <c r="M54" s="80"/>
      <c r="N54" s="81"/>
      <c r="O54" s="80"/>
      <c r="P54" s="81"/>
      <c r="Q54" s="80"/>
      <c r="R54" s="81"/>
      <c r="S54" s="80"/>
      <c r="T54" s="81"/>
      <c r="U54" s="80"/>
      <c r="V54" s="81"/>
      <c r="W54" s="80"/>
      <c r="X54" s="81"/>
      <c r="Y54" s="80"/>
      <c r="Z54" s="81"/>
      <c r="AA54" s="80"/>
      <c r="AB54" s="81"/>
      <c r="AC54" s="81"/>
      <c r="AD54" s="81"/>
      <c r="AE54" s="80"/>
      <c r="AF54" s="81"/>
      <c r="AG54" s="80"/>
      <c r="AH54" s="81"/>
      <c r="AI54" s="80"/>
      <c r="AJ54" s="81"/>
      <c r="AK54" s="80"/>
      <c r="AL54" s="81"/>
      <c r="AM54" s="80"/>
      <c r="AN54" s="81"/>
      <c r="AO54" s="80"/>
      <c r="AP54" s="81"/>
      <c r="AQ54" s="80"/>
      <c r="AR54" s="81"/>
      <c r="AS54" s="80"/>
      <c r="AT54" s="81"/>
      <c r="AU54" s="80"/>
      <c r="AV54" s="81"/>
      <c r="AW54" s="79"/>
      <c r="AX54" s="79"/>
    </row>
    <row r="55" spans="2:52" ht="6" customHeight="1">
      <c r="B55" s="42"/>
      <c r="C55" s="42"/>
      <c r="D55" s="122"/>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6"/>
    </row>
    <row r="56" spans="2:52" ht="10.5" customHeight="1">
      <c r="B56" s="42">
        <v>1</v>
      </c>
      <c r="C56" s="42"/>
      <c r="D56" s="16" t="s">
        <v>354</v>
      </c>
      <c r="E56" s="75">
        <v>449</v>
      </c>
      <c r="F56" s="75"/>
      <c r="G56" s="75">
        <v>450</v>
      </c>
      <c r="H56" s="75"/>
      <c r="I56" s="75">
        <v>460</v>
      </c>
      <c r="J56" s="75"/>
      <c r="K56" s="75">
        <v>480</v>
      </c>
      <c r="L56" s="75"/>
      <c r="M56" s="75">
        <v>480</v>
      </c>
      <c r="N56" s="75"/>
      <c r="O56" s="75">
        <v>490</v>
      </c>
      <c r="P56" s="75"/>
      <c r="Q56" s="75">
        <v>518</v>
      </c>
      <c r="R56" s="75"/>
      <c r="S56" s="75">
        <v>567</v>
      </c>
      <c r="T56" s="75"/>
      <c r="U56" s="75">
        <v>613</v>
      </c>
      <c r="V56" s="75"/>
      <c r="W56" s="75">
        <v>628</v>
      </c>
      <c r="X56" s="75"/>
      <c r="Y56" s="75">
        <v>641</v>
      </c>
      <c r="Z56" s="23"/>
      <c r="AA56" s="75">
        <v>691</v>
      </c>
      <c r="AB56" s="23"/>
      <c r="AC56" s="75">
        <v>739</v>
      </c>
      <c r="AD56" s="23"/>
      <c r="AE56" s="75">
        <v>746</v>
      </c>
      <c r="AF56" s="23"/>
      <c r="AG56" s="75">
        <v>753</v>
      </c>
      <c r="AH56" s="23"/>
      <c r="AI56" s="75">
        <v>783</v>
      </c>
      <c r="AJ56" s="75"/>
      <c r="AK56" s="75">
        <v>802</v>
      </c>
      <c r="AL56" s="75"/>
      <c r="AM56" s="75">
        <v>798</v>
      </c>
      <c r="AN56" s="75"/>
      <c r="AO56" s="75">
        <v>795</v>
      </c>
      <c r="AP56" s="75"/>
      <c r="AQ56" s="75">
        <v>785</v>
      </c>
      <c r="AR56" s="75"/>
      <c r="AS56" s="75">
        <v>799</v>
      </c>
      <c r="AT56" s="75"/>
      <c r="AU56" s="75">
        <v>777</v>
      </c>
      <c r="AV56" s="75"/>
      <c r="AW56" s="17"/>
      <c r="AX56" s="16" t="s">
        <v>355</v>
      </c>
      <c r="AY56" s="82"/>
      <c r="AZ56" s="288"/>
    </row>
    <row r="57" spans="2:52" ht="10.5" customHeight="1">
      <c r="B57" s="42">
        <v>2</v>
      </c>
      <c r="C57" s="42"/>
      <c r="D57" s="16" t="s">
        <v>388</v>
      </c>
      <c r="E57" s="75">
        <v>14781</v>
      </c>
      <c r="F57" s="75"/>
      <c r="G57" s="75">
        <v>14806</v>
      </c>
      <c r="H57" s="75"/>
      <c r="I57" s="75">
        <v>15475</v>
      </c>
      <c r="J57" s="75"/>
      <c r="K57" s="75">
        <v>15927</v>
      </c>
      <c r="L57" s="75"/>
      <c r="M57" s="75">
        <v>15927</v>
      </c>
      <c r="N57" s="75"/>
      <c r="O57" s="75">
        <v>16729</v>
      </c>
      <c r="P57" s="75"/>
      <c r="Q57" s="75">
        <v>16750</v>
      </c>
      <c r="R57" s="200"/>
      <c r="S57" s="75">
        <v>17565</v>
      </c>
      <c r="T57" s="200"/>
      <c r="U57" s="75">
        <v>18757</v>
      </c>
      <c r="V57" s="75"/>
      <c r="W57" s="75">
        <v>18991</v>
      </c>
      <c r="X57" s="75"/>
      <c r="Y57" s="75">
        <v>19309</v>
      </c>
      <c r="Z57" s="16"/>
      <c r="AA57" s="75">
        <v>20735</v>
      </c>
      <c r="AB57" s="75"/>
      <c r="AC57" s="75">
        <v>22066</v>
      </c>
      <c r="AD57" s="75"/>
      <c r="AE57" s="75">
        <v>21759</v>
      </c>
      <c r="AF57" s="67"/>
      <c r="AG57" s="75">
        <v>22003</v>
      </c>
      <c r="AH57" s="75"/>
      <c r="AI57" s="75">
        <v>22775</v>
      </c>
      <c r="AJ57" s="75"/>
      <c r="AK57" s="75">
        <v>23291</v>
      </c>
      <c r="AL57" s="75"/>
      <c r="AM57" s="75">
        <v>23179</v>
      </c>
      <c r="AN57" s="75"/>
      <c r="AO57" s="75">
        <v>23020</v>
      </c>
      <c r="AP57" s="75"/>
      <c r="AQ57" s="75">
        <v>23139</v>
      </c>
      <c r="AR57" s="75"/>
      <c r="AS57" s="75">
        <v>23265</v>
      </c>
      <c r="AT57" s="75"/>
      <c r="AU57" s="75">
        <v>21847</v>
      </c>
      <c r="AV57" s="75"/>
      <c r="AW57" s="17"/>
      <c r="AX57" s="16" t="s">
        <v>389</v>
      </c>
      <c r="AZ57" s="288"/>
    </row>
    <row r="58" spans="2:52" ht="10.5" customHeight="1">
      <c r="B58" s="42">
        <v>3</v>
      </c>
      <c r="C58" s="42"/>
      <c r="D58" s="16" t="s">
        <v>390</v>
      </c>
      <c r="E58" s="75">
        <v>24769</v>
      </c>
      <c r="F58" s="75"/>
      <c r="G58" s="75">
        <v>24819</v>
      </c>
      <c r="H58" s="75"/>
      <c r="I58" s="75">
        <v>25640</v>
      </c>
      <c r="J58" s="75"/>
      <c r="K58" s="75">
        <v>26301</v>
      </c>
      <c r="L58" s="75"/>
      <c r="M58" s="75">
        <v>26301</v>
      </c>
      <c r="N58" s="75"/>
      <c r="O58" s="75">
        <v>26835</v>
      </c>
      <c r="P58" s="75"/>
      <c r="Q58" s="75">
        <v>27246</v>
      </c>
      <c r="R58" s="75"/>
      <c r="S58" s="75">
        <v>29048</v>
      </c>
      <c r="T58" s="75"/>
      <c r="U58" s="75">
        <v>30962</v>
      </c>
      <c r="V58" s="75"/>
      <c r="W58" s="75">
        <v>31424</v>
      </c>
      <c r="X58" s="75"/>
      <c r="Y58" s="75">
        <v>32082</v>
      </c>
      <c r="Z58" s="16"/>
      <c r="AA58" s="75">
        <v>34336</v>
      </c>
      <c r="AB58" s="75"/>
      <c r="AC58" s="75">
        <v>36205</v>
      </c>
      <c r="AD58" s="75"/>
      <c r="AE58" s="75">
        <v>36277</v>
      </c>
      <c r="AF58" s="67"/>
      <c r="AG58" s="75">
        <v>36511</v>
      </c>
      <c r="AH58" s="75"/>
      <c r="AI58" s="75">
        <v>37964</v>
      </c>
      <c r="AJ58" s="75"/>
      <c r="AK58" s="75">
        <v>38950</v>
      </c>
      <c r="AL58" s="75"/>
      <c r="AM58" s="75">
        <v>38790</v>
      </c>
      <c r="AN58" s="75"/>
      <c r="AO58" s="75">
        <v>38595</v>
      </c>
      <c r="AP58" s="75"/>
      <c r="AQ58" s="75">
        <v>39009</v>
      </c>
      <c r="AR58" s="75"/>
      <c r="AS58" s="75">
        <v>39500</v>
      </c>
      <c r="AT58" s="75"/>
      <c r="AU58" s="75">
        <v>36777</v>
      </c>
      <c r="AV58" s="75"/>
      <c r="AW58" s="17"/>
      <c r="AX58" s="16" t="s">
        <v>391</v>
      </c>
    </row>
    <row r="59" spans="2:52" ht="4.5" customHeight="1">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row>
    <row r="65" spans="2:50">
      <c r="B65" s="10" t="s">
        <v>1114</v>
      </c>
    </row>
    <row r="66" spans="2:50">
      <c r="B66" s="156" t="s">
        <v>1115</v>
      </c>
    </row>
    <row r="67" spans="2:50">
      <c r="B67" s="62"/>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row>
    <row r="68" spans="2:50" ht="6" customHeight="1"/>
    <row r="69" spans="2:50" ht="14.25" customHeight="1">
      <c r="B69" s="523" t="s">
        <v>519</v>
      </c>
      <c r="C69" s="523"/>
      <c r="D69" s="523"/>
      <c r="E69" s="281">
        <v>2000</v>
      </c>
      <c r="F69" s="404"/>
      <c r="G69" s="281">
        <v>2001</v>
      </c>
      <c r="H69" s="404"/>
      <c r="I69" s="281">
        <v>2002</v>
      </c>
      <c r="J69" s="404"/>
      <c r="K69" s="281">
        <v>2003</v>
      </c>
      <c r="L69" s="404"/>
      <c r="M69" s="281">
        <v>2004</v>
      </c>
      <c r="N69" s="404"/>
      <c r="O69" s="281">
        <v>2005</v>
      </c>
      <c r="P69" s="404"/>
      <c r="Q69" s="281">
        <v>2006</v>
      </c>
      <c r="R69" s="404"/>
      <c r="S69" s="281">
        <v>2007</v>
      </c>
      <c r="T69" s="404"/>
      <c r="U69" s="281">
        <v>2008</v>
      </c>
      <c r="V69" s="404"/>
      <c r="W69" s="281">
        <v>2009</v>
      </c>
      <c r="X69" s="404"/>
      <c r="Y69" s="281">
        <v>2010</v>
      </c>
      <c r="Z69" s="404"/>
      <c r="AA69" s="281">
        <v>2011</v>
      </c>
      <c r="AB69" s="404"/>
      <c r="AC69" s="281">
        <v>2012</v>
      </c>
      <c r="AD69" s="404"/>
      <c r="AE69" s="281">
        <v>2013</v>
      </c>
      <c r="AF69" s="404"/>
      <c r="AG69" s="281">
        <v>2014</v>
      </c>
      <c r="AH69" s="404"/>
      <c r="AI69" s="281">
        <v>2015</v>
      </c>
      <c r="AJ69" s="404"/>
      <c r="AK69" s="281">
        <v>2016</v>
      </c>
      <c r="AL69" s="404"/>
      <c r="AM69" s="281">
        <v>2017</v>
      </c>
      <c r="AN69" s="404"/>
      <c r="AO69" s="281">
        <v>2018</v>
      </c>
      <c r="AP69" s="404"/>
      <c r="AQ69" s="281">
        <v>2019</v>
      </c>
      <c r="AR69" s="404"/>
      <c r="AS69" s="281">
        <v>2020</v>
      </c>
      <c r="AT69" s="404"/>
      <c r="AU69" s="281">
        <v>2021</v>
      </c>
      <c r="AV69" s="404"/>
      <c r="AX69" s="283" t="s">
        <v>520</v>
      </c>
    </row>
    <row r="70" spans="2:50" ht="6" customHeight="1">
      <c r="B70" s="79"/>
      <c r="C70" s="79"/>
      <c r="D70" s="79"/>
      <c r="E70" s="80"/>
      <c r="F70" s="81"/>
      <c r="G70" s="80"/>
      <c r="H70" s="81"/>
      <c r="I70" s="80"/>
      <c r="J70" s="81"/>
      <c r="K70" s="80"/>
      <c r="L70" s="81"/>
      <c r="M70" s="80"/>
      <c r="N70" s="81"/>
      <c r="O70" s="80"/>
      <c r="P70" s="81"/>
      <c r="Q70" s="80"/>
      <c r="R70" s="81"/>
      <c r="S70" s="80"/>
      <c r="T70" s="81"/>
      <c r="U70" s="80"/>
      <c r="V70" s="81"/>
      <c r="W70" s="80"/>
      <c r="X70" s="81"/>
      <c r="Y70" s="80"/>
      <c r="Z70" s="81"/>
      <c r="AA70" s="80"/>
      <c r="AB70" s="81"/>
      <c r="AC70" s="80"/>
      <c r="AD70" s="81"/>
      <c r="AE70" s="80"/>
      <c r="AF70" s="81"/>
      <c r="AG70" s="80"/>
      <c r="AH70" s="81"/>
      <c r="AI70" s="80"/>
      <c r="AJ70" s="81"/>
      <c r="AK70" s="80"/>
      <c r="AL70" s="81"/>
      <c r="AM70" s="80"/>
      <c r="AN70" s="81"/>
      <c r="AO70" s="80"/>
      <c r="AP70" s="81"/>
      <c r="AQ70" s="80"/>
      <c r="AR70" s="81"/>
      <c r="AS70" s="80"/>
      <c r="AT70" s="81"/>
      <c r="AU70" s="80"/>
      <c r="AV70" s="81"/>
      <c r="AW70" s="79"/>
      <c r="AX70" s="79"/>
    </row>
    <row r="71" spans="2:50" ht="6" customHeight="1">
      <c r="B71" s="42"/>
      <c r="C71" s="42"/>
      <c r="D71" s="122"/>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6"/>
    </row>
    <row r="72" spans="2:50" ht="10.5" customHeight="1">
      <c r="B72" s="42">
        <v>1</v>
      </c>
      <c r="C72" s="42"/>
      <c r="D72" s="16" t="s">
        <v>354</v>
      </c>
      <c r="E72" s="28">
        <v>1030</v>
      </c>
      <c r="F72" s="75"/>
      <c r="G72" s="28">
        <v>1071</v>
      </c>
      <c r="H72" s="75"/>
      <c r="I72" s="28">
        <v>1047</v>
      </c>
      <c r="J72" s="75"/>
      <c r="K72" s="28">
        <v>1112</v>
      </c>
      <c r="L72" s="75"/>
      <c r="M72" s="28">
        <v>1077</v>
      </c>
      <c r="N72" s="75"/>
      <c r="O72" s="28">
        <v>1077</v>
      </c>
      <c r="P72" s="75"/>
      <c r="Q72" s="28">
        <v>1077</v>
      </c>
      <c r="R72" s="75"/>
      <c r="S72" s="28">
        <v>1077</v>
      </c>
      <c r="T72" s="75"/>
      <c r="U72" s="28">
        <v>1057</v>
      </c>
      <c r="V72" s="75"/>
      <c r="W72" s="28">
        <v>1057</v>
      </c>
      <c r="X72" s="75"/>
      <c r="Y72" s="28">
        <v>1055</v>
      </c>
      <c r="Z72" s="23"/>
      <c r="AA72" s="28">
        <v>1055</v>
      </c>
      <c r="AB72" s="75"/>
      <c r="AC72" s="28">
        <v>1055</v>
      </c>
      <c r="AD72" s="75"/>
      <c r="AE72" s="28">
        <v>1055</v>
      </c>
      <c r="AF72" s="75"/>
      <c r="AG72" s="28">
        <v>1039</v>
      </c>
      <c r="AH72" s="75"/>
      <c r="AI72" s="28">
        <v>1039</v>
      </c>
      <c r="AJ72" s="75"/>
      <c r="AK72" s="28">
        <v>1039</v>
      </c>
      <c r="AL72" s="75"/>
      <c r="AM72" s="28">
        <v>1039</v>
      </c>
      <c r="AN72" s="75"/>
      <c r="AO72" s="28">
        <v>1039</v>
      </c>
      <c r="AP72" s="75"/>
      <c r="AQ72" s="28">
        <v>1037</v>
      </c>
      <c r="AR72" s="75"/>
      <c r="AS72" s="28">
        <v>1061</v>
      </c>
      <c r="AT72" s="75"/>
      <c r="AU72" s="28">
        <v>1049</v>
      </c>
      <c r="AV72" s="75"/>
      <c r="AW72" s="17"/>
      <c r="AX72" s="16" t="s">
        <v>355</v>
      </c>
    </row>
    <row r="73" spans="2:50" ht="10.5" customHeight="1">
      <c r="B73" s="42">
        <v>2</v>
      </c>
      <c r="C73" s="42"/>
      <c r="D73" s="16" t="s">
        <v>388</v>
      </c>
      <c r="E73" s="28">
        <v>47370</v>
      </c>
      <c r="F73" s="75"/>
      <c r="G73" s="28">
        <v>48438</v>
      </c>
      <c r="H73" s="75"/>
      <c r="I73" s="28">
        <v>46386</v>
      </c>
      <c r="J73" s="75"/>
      <c r="K73" s="28">
        <v>48624</v>
      </c>
      <c r="L73" s="75"/>
      <c r="M73" s="28">
        <v>46814</v>
      </c>
      <c r="N73" s="75"/>
      <c r="O73" s="28">
        <v>46814</v>
      </c>
      <c r="P73" s="75"/>
      <c r="Q73" s="28">
        <v>46814</v>
      </c>
      <c r="R73" s="75"/>
      <c r="S73" s="28">
        <v>46814</v>
      </c>
      <c r="T73" s="75"/>
      <c r="U73" s="28">
        <v>45854</v>
      </c>
      <c r="V73" s="75"/>
      <c r="W73" s="28">
        <v>45854</v>
      </c>
      <c r="X73" s="75"/>
      <c r="Y73" s="28">
        <v>45758</v>
      </c>
      <c r="Z73" s="23"/>
      <c r="AA73" s="28">
        <v>45758</v>
      </c>
      <c r="AB73" s="75"/>
      <c r="AC73" s="28">
        <v>45758</v>
      </c>
      <c r="AD73" s="75"/>
      <c r="AE73" s="28">
        <v>45758</v>
      </c>
      <c r="AF73" s="75"/>
      <c r="AG73" s="28">
        <v>44990</v>
      </c>
      <c r="AH73" s="75"/>
      <c r="AI73" s="28">
        <v>44990</v>
      </c>
      <c r="AJ73" s="75"/>
      <c r="AK73" s="28">
        <v>44990</v>
      </c>
      <c r="AL73" s="75"/>
      <c r="AM73" s="28">
        <v>44990</v>
      </c>
      <c r="AN73" s="75"/>
      <c r="AO73" s="28">
        <v>44990</v>
      </c>
      <c r="AP73" s="75"/>
      <c r="AQ73" s="28">
        <v>44898</v>
      </c>
      <c r="AR73" s="75"/>
      <c r="AS73" s="28">
        <v>46458</v>
      </c>
      <c r="AT73" s="75"/>
      <c r="AU73" s="28">
        <v>45358</v>
      </c>
      <c r="AV73" s="75"/>
      <c r="AW73" s="17"/>
      <c r="AX73" s="16" t="s">
        <v>389</v>
      </c>
    </row>
    <row r="74" spans="2:50" ht="10.5" customHeight="1">
      <c r="B74" s="42">
        <v>3</v>
      </c>
      <c r="C74" s="42"/>
      <c r="D74" s="16" t="s">
        <v>390</v>
      </c>
      <c r="E74" s="28">
        <v>107606</v>
      </c>
      <c r="F74" s="75"/>
      <c r="G74" s="28">
        <v>110234</v>
      </c>
      <c r="H74" s="75"/>
      <c r="I74" s="28">
        <v>105842</v>
      </c>
      <c r="J74" s="75"/>
      <c r="K74" s="28">
        <v>110952</v>
      </c>
      <c r="L74" s="75"/>
      <c r="M74" s="28">
        <v>106635</v>
      </c>
      <c r="N74" s="75"/>
      <c r="O74" s="28">
        <v>106635</v>
      </c>
      <c r="P74" s="75"/>
      <c r="Q74" s="28">
        <v>106635</v>
      </c>
      <c r="R74" s="75"/>
      <c r="S74" s="28">
        <v>106635</v>
      </c>
      <c r="T74" s="75"/>
      <c r="U74" s="28">
        <v>104435</v>
      </c>
      <c r="V74" s="75"/>
      <c r="W74" s="28">
        <v>104435</v>
      </c>
      <c r="X74" s="75"/>
      <c r="Y74" s="28">
        <v>104219</v>
      </c>
      <c r="Z74" s="23"/>
      <c r="AA74" s="28">
        <v>104219</v>
      </c>
      <c r="AB74" s="75"/>
      <c r="AC74" s="28">
        <v>104219</v>
      </c>
      <c r="AD74" s="75"/>
      <c r="AE74" s="28">
        <v>104219</v>
      </c>
      <c r="AF74" s="75"/>
      <c r="AG74" s="28">
        <v>102491</v>
      </c>
      <c r="AH74" s="75"/>
      <c r="AI74" s="28">
        <v>102491</v>
      </c>
      <c r="AJ74" s="75"/>
      <c r="AK74" s="28">
        <v>102491</v>
      </c>
      <c r="AL74" s="75"/>
      <c r="AM74" s="28">
        <v>102491</v>
      </c>
      <c r="AN74" s="75"/>
      <c r="AO74" s="28">
        <v>102491</v>
      </c>
      <c r="AP74" s="75"/>
      <c r="AQ74" s="28">
        <v>102275</v>
      </c>
      <c r="AR74" s="75"/>
      <c r="AS74" s="28">
        <v>108215</v>
      </c>
      <c r="AT74" s="75"/>
      <c r="AU74" s="28">
        <v>110437</v>
      </c>
      <c r="AV74" s="75"/>
      <c r="AW74" s="17"/>
      <c r="AX74" s="16" t="s">
        <v>391</v>
      </c>
    </row>
    <row r="75" spans="2:50" ht="4.5" customHeight="1">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row>
  </sheetData>
  <mergeCells count="3">
    <mergeCell ref="B53:D53"/>
    <mergeCell ref="B5:D5"/>
    <mergeCell ref="B69:D69"/>
  </mergeCells>
  <printOptions horizontalCentered="1"/>
  <pageMargins left="0" right="0" top="0" bottom="0" header="0" footer="0"/>
  <pageSetup paperSize="9" scale="9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L84"/>
  <sheetViews>
    <sheetView workbookViewId="0"/>
  </sheetViews>
  <sheetFormatPr defaultColWidth="9.109375" defaultRowHeight="13.8" outlineLevelCol="1"/>
  <cols>
    <col min="1" max="1" width="0.88671875" style="11" customWidth="1"/>
    <col min="2" max="2" width="2.6640625" style="11" bestFit="1" customWidth="1"/>
    <col min="3" max="3" width="0.88671875" style="11" customWidth="1"/>
    <col min="4" max="4" width="29.44140625" style="11" customWidth="1"/>
    <col min="5" max="5" width="6.5546875" style="11" hidden="1" customWidth="1" outlineLevel="1"/>
    <col min="6" max="6" width="1.33203125" style="11" hidden="1" customWidth="1" outlineLevel="1"/>
    <col min="7" max="7" width="6.5546875" style="11" hidden="1" customWidth="1" outlineLevel="1"/>
    <col min="8" max="8" width="1.33203125" style="11" hidden="1" customWidth="1" outlineLevel="1"/>
    <col min="9" max="9" width="6.5546875" style="11" hidden="1" customWidth="1" outlineLevel="1"/>
    <col min="10" max="10" width="1.33203125" style="11" hidden="1" customWidth="1" outlineLevel="1"/>
    <col min="11" max="11" width="6.5546875" style="11" hidden="1" customWidth="1" outlineLevel="1"/>
    <col min="12" max="12" width="1.33203125" style="11" hidden="1" customWidth="1" outlineLevel="1"/>
    <col min="13" max="13" width="6.5546875" style="11" hidden="1" customWidth="1" outlineLevel="1"/>
    <col min="14" max="14" width="1.33203125" style="11" hidden="1" customWidth="1" outlineLevel="1"/>
    <col min="15" max="15" width="6.5546875" style="11" hidden="1" customWidth="1" outlineLevel="1"/>
    <col min="16" max="16" width="1.33203125" style="11" hidden="1" customWidth="1" outlineLevel="1"/>
    <col min="17" max="17" width="6.5546875" style="11" hidden="1" customWidth="1" outlineLevel="1"/>
    <col min="18" max="18" width="1.33203125" style="11" hidden="1" customWidth="1" outlineLevel="1"/>
    <col min="19" max="19" width="6.44140625" style="11" hidden="1" customWidth="1" outlineLevel="1"/>
    <col min="20" max="20" width="1.33203125" style="11" hidden="1" customWidth="1" outlineLevel="1"/>
    <col min="21" max="21" width="6.5546875" style="11" hidden="1" customWidth="1" outlineLevel="1"/>
    <col min="22" max="22" width="1.33203125" style="11" hidden="1" customWidth="1" outlineLevel="1"/>
    <col min="23" max="23" width="6.5546875" style="11" hidden="1" customWidth="1" outlineLevel="1"/>
    <col min="24" max="24" width="1.33203125" style="11" hidden="1" customWidth="1" outlineLevel="1"/>
    <col min="25" max="25" width="7.88671875" style="11" hidden="1" customWidth="1" outlineLevel="1"/>
    <col min="26" max="26" width="1.33203125" style="11" hidden="1" customWidth="1" outlineLevel="1"/>
    <col min="27" max="27" width="6.5546875" style="11" hidden="1" customWidth="1" outlineLevel="1"/>
    <col min="28" max="28" width="1.33203125" style="11" hidden="1" customWidth="1" outlineLevel="1"/>
    <col min="29" max="29" width="6.5546875" style="11" hidden="1" customWidth="1" outlineLevel="1"/>
    <col min="30" max="30" width="1.33203125" style="11" hidden="1" customWidth="1" outlineLevel="1"/>
    <col min="31" max="31" width="6.5546875" style="11" hidden="1" customWidth="1" outlineLevel="1"/>
    <col min="32" max="32" width="1.33203125" style="11" hidden="1" customWidth="1" outlineLevel="1"/>
    <col min="33" max="33" width="7.88671875" style="11" hidden="1" customWidth="1" outlineLevel="1"/>
    <col min="34" max="34" width="1.33203125" style="11" hidden="1" customWidth="1" outlineLevel="1"/>
    <col min="35" max="35" width="7.88671875" style="11" hidden="1" customWidth="1" outlineLevel="1"/>
    <col min="36" max="36" width="1.33203125" style="11" hidden="1" customWidth="1" outlineLevel="1"/>
    <col min="37" max="37" width="7.88671875" style="11" customWidth="1" collapsed="1"/>
    <col min="38" max="38" width="1.33203125" style="11" customWidth="1"/>
    <col min="39" max="39" width="7.88671875" style="11" customWidth="1"/>
    <col min="40" max="40" width="1.33203125" style="11" customWidth="1"/>
    <col min="41" max="41" width="7.88671875" style="11" customWidth="1"/>
    <col min="42" max="42" width="1.33203125" style="11" customWidth="1"/>
    <col min="43" max="43" width="7.88671875" style="11" customWidth="1"/>
    <col min="44" max="44" width="1.5546875" style="11" customWidth="1"/>
    <col min="45" max="45" width="7.88671875" style="11" customWidth="1"/>
    <col min="46" max="46" width="1.88671875" style="11" customWidth="1"/>
    <col min="47" max="47" width="7.88671875" style="11" customWidth="1"/>
    <col min="48" max="48" width="1.88671875" style="11" customWidth="1"/>
    <col min="49" max="49" width="0.88671875" style="11" customWidth="1"/>
    <col min="50" max="50" width="32.88671875" style="11" customWidth="1"/>
    <col min="51" max="51" width="9.109375" style="11" customWidth="1"/>
    <col min="52" max="52" width="9.5546875" style="11" bestFit="1" customWidth="1"/>
    <col min="53" max="53" width="9.33203125" style="11" bestFit="1" customWidth="1"/>
    <col min="54" max="16384" width="9.109375" style="11"/>
  </cols>
  <sheetData>
    <row r="1" spans="2:57">
      <c r="B1" s="10" t="s">
        <v>1092</v>
      </c>
      <c r="C1" s="10"/>
      <c r="D1" s="2"/>
      <c r="E1" s="2"/>
      <c r="F1" s="2"/>
      <c r="G1" s="2"/>
      <c r="H1" s="2"/>
      <c r="I1" s="2"/>
      <c r="J1" s="2"/>
      <c r="K1" s="2"/>
      <c r="L1" s="2"/>
      <c r="M1" s="2"/>
      <c r="N1" s="2"/>
      <c r="O1" s="2"/>
      <c r="P1" s="2"/>
      <c r="Q1" s="2"/>
      <c r="R1" s="2"/>
    </row>
    <row r="2" spans="2:57">
      <c r="B2" s="156" t="s">
        <v>1093</v>
      </c>
      <c r="C2" s="10"/>
      <c r="D2" s="2"/>
      <c r="E2" s="2"/>
      <c r="F2" s="2"/>
      <c r="G2" s="2"/>
      <c r="H2" s="2"/>
      <c r="I2" s="2"/>
      <c r="J2" s="2"/>
      <c r="K2" s="2"/>
      <c r="L2" s="2"/>
      <c r="M2" s="2"/>
      <c r="N2" s="2"/>
      <c r="O2" s="2"/>
      <c r="P2" s="2"/>
      <c r="Q2" s="2"/>
      <c r="R2" s="2"/>
    </row>
    <row r="3" spans="2:57" ht="6" customHeight="1">
      <c r="B3" s="4"/>
      <c r="C3" s="4"/>
      <c r="D3" s="4"/>
      <c r="E3" s="4"/>
      <c r="F3" s="4"/>
      <c r="G3" s="4"/>
      <c r="H3" s="4"/>
      <c r="I3" s="4"/>
      <c r="J3" s="4"/>
      <c r="K3" s="4"/>
      <c r="L3" s="4"/>
      <c r="M3" s="4"/>
      <c r="N3" s="4"/>
      <c r="O3" s="4"/>
      <c r="P3" s="4"/>
      <c r="Q3" s="4"/>
      <c r="R3" s="4"/>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row>
    <row r="4" spans="2:57" ht="6" customHeight="1">
      <c r="B4" s="2"/>
      <c r="C4" s="2"/>
      <c r="D4" s="2"/>
      <c r="E4" s="2"/>
      <c r="F4" s="2"/>
      <c r="G4" s="2"/>
      <c r="H4" s="2"/>
      <c r="I4" s="2"/>
      <c r="J4" s="2"/>
      <c r="K4" s="2"/>
      <c r="L4" s="2"/>
      <c r="M4" s="2"/>
      <c r="N4" s="2"/>
      <c r="O4" s="2"/>
      <c r="P4" s="2"/>
      <c r="Q4" s="2"/>
      <c r="R4" s="2"/>
    </row>
    <row r="5" spans="2:57" ht="14.25" customHeight="1">
      <c r="B5" s="523" t="s">
        <v>392</v>
      </c>
      <c r="C5" s="523"/>
      <c r="D5" s="523"/>
      <c r="E5" s="281">
        <v>2000</v>
      </c>
      <c r="F5" s="404"/>
      <c r="G5" s="281">
        <v>2001</v>
      </c>
      <c r="H5" s="404"/>
      <c r="I5" s="281">
        <v>2002</v>
      </c>
      <c r="J5" s="404"/>
      <c r="K5" s="281">
        <v>2003</v>
      </c>
      <c r="L5" s="404"/>
      <c r="M5" s="281">
        <v>2004</v>
      </c>
      <c r="N5" s="404"/>
      <c r="O5" s="281">
        <v>2005</v>
      </c>
      <c r="P5" s="404"/>
      <c r="Q5" s="281">
        <v>2006</v>
      </c>
      <c r="R5" s="404"/>
      <c r="S5" s="281">
        <v>2007</v>
      </c>
      <c r="T5" s="407"/>
      <c r="U5" s="281">
        <v>2008</v>
      </c>
      <c r="V5" s="407"/>
      <c r="W5" s="281">
        <v>2009</v>
      </c>
      <c r="X5" s="407"/>
      <c r="Y5" s="281">
        <v>2010</v>
      </c>
      <c r="Z5" s="407"/>
      <c r="AA5" s="281">
        <v>2011</v>
      </c>
      <c r="AB5" s="407"/>
      <c r="AC5" s="281">
        <v>2012</v>
      </c>
      <c r="AD5" s="407"/>
      <c r="AE5" s="281">
        <v>2013</v>
      </c>
      <c r="AF5" s="407"/>
      <c r="AG5" s="281">
        <v>2014</v>
      </c>
      <c r="AH5" s="407"/>
      <c r="AI5" s="281">
        <v>2015</v>
      </c>
      <c r="AJ5" s="407"/>
      <c r="AK5" s="281">
        <v>2016</v>
      </c>
      <c r="AL5" s="407"/>
      <c r="AM5" s="281">
        <v>2017</v>
      </c>
      <c r="AN5" s="281"/>
      <c r="AO5" s="281">
        <v>2018</v>
      </c>
      <c r="AP5" s="281"/>
      <c r="AQ5" s="281">
        <v>2019</v>
      </c>
      <c r="AR5" s="281"/>
      <c r="AS5" s="281">
        <v>2020</v>
      </c>
      <c r="AT5" s="281"/>
      <c r="AU5" s="281">
        <v>2021</v>
      </c>
      <c r="AV5" s="281"/>
      <c r="AX5" s="63" t="s">
        <v>407</v>
      </c>
    </row>
    <row r="6" spans="2:57" ht="6" customHeight="1">
      <c r="B6" s="79"/>
      <c r="C6" s="79"/>
      <c r="D6" s="79"/>
      <c r="E6" s="80"/>
      <c r="F6" s="81"/>
      <c r="G6" s="80"/>
      <c r="H6" s="81"/>
      <c r="I6" s="80"/>
      <c r="J6" s="81"/>
      <c r="K6" s="80"/>
      <c r="L6" s="81"/>
      <c r="M6" s="80"/>
      <c r="N6" s="81"/>
      <c r="O6" s="80"/>
      <c r="P6" s="81"/>
      <c r="Q6" s="80"/>
      <c r="R6" s="81"/>
      <c r="S6" s="80"/>
      <c r="T6" s="7"/>
      <c r="U6" s="80"/>
      <c r="V6" s="7"/>
      <c r="W6" s="80"/>
      <c r="X6" s="7"/>
      <c r="Y6" s="80"/>
      <c r="Z6" s="7"/>
      <c r="AA6" s="80"/>
      <c r="AB6" s="7"/>
      <c r="AC6" s="7"/>
      <c r="AD6" s="7"/>
      <c r="AE6" s="80"/>
      <c r="AF6" s="7"/>
      <c r="AG6" s="80"/>
      <c r="AH6" s="7"/>
      <c r="AI6" s="80"/>
      <c r="AJ6" s="7"/>
      <c r="AK6" s="80"/>
      <c r="AL6" s="7"/>
      <c r="AM6" s="80"/>
      <c r="AN6" s="7"/>
      <c r="AO6" s="80"/>
      <c r="AP6" s="7"/>
      <c r="AQ6" s="80"/>
      <c r="AR6" s="7"/>
      <c r="AS6" s="80"/>
      <c r="AT6" s="80"/>
      <c r="AU6" s="80"/>
      <c r="AV6" s="80"/>
      <c r="AW6" s="80"/>
      <c r="AX6" s="4"/>
    </row>
    <row r="7" spans="2:57" ht="6" customHeight="1">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row>
    <row r="8" spans="2:57" ht="10.5" customHeight="1">
      <c r="B8" s="42"/>
      <c r="C8" s="42"/>
      <c r="D8" s="63" t="s">
        <v>9</v>
      </c>
      <c r="E8" s="17"/>
      <c r="F8" s="27"/>
      <c r="G8" s="17"/>
      <c r="H8" s="27"/>
      <c r="I8" s="17"/>
      <c r="J8" s="27"/>
      <c r="K8" s="17"/>
      <c r="L8" s="27"/>
      <c r="M8" s="17"/>
      <c r="N8" s="27"/>
      <c r="O8" s="17"/>
      <c r="P8" s="27"/>
      <c r="Q8" s="17"/>
      <c r="R8" s="27"/>
      <c r="S8" s="17"/>
      <c r="T8" s="27"/>
      <c r="U8" s="17"/>
      <c r="V8" s="27"/>
      <c r="W8" s="17"/>
      <c r="X8" s="27"/>
      <c r="Y8" s="17"/>
      <c r="Z8" s="27"/>
      <c r="AA8" s="17"/>
      <c r="AB8" s="27"/>
      <c r="AC8" s="27"/>
      <c r="AD8" s="27"/>
      <c r="AE8" s="17"/>
      <c r="AF8" s="27"/>
      <c r="AG8" s="17"/>
      <c r="AH8" s="27"/>
      <c r="AI8" s="17"/>
      <c r="AJ8" s="27"/>
      <c r="AK8" s="17"/>
      <c r="AL8" s="27"/>
      <c r="AM8" s="17"/>
      <c r="AN8" s="27"/>
      <c r="AO8" s="17"/>
      <c r="AP8" s="27"/>
      <c r="AQ8" s="17"/>
      <c r="AR8" s="27"/>
      <c r="AS8" s="17"/>
      <c r="AT8" s="17"/>
      <c r="AU8" s="17"/>
      <c r="AV8" s="17"/>
      <c r="AW8" s="17"/>
      <c r="AX8" s="63" t="s">
        <v>12</v>
      </c>
    </row>
    <row r="9" spans="2:57" ht="10.5" customHeight="1">
      <c r="B9" s="42">
        <v>1</v>
      </c>
      <c r="C9" s="42"/>
      <c r="D9" s="16" t="s">
        <v>393</v>
      </c>
      <c r="E9" s="28">
        <v>67700</v>
      </c>
      <c r="F9" s="17"/>
      <c r="G9" s="28">
        <v>73799</v>
      </c>
      <c r="H9" s="17"/>
      <c r="I9" s="28">
        <v>76943</v>
      </c>
      <c r="J9" s="17"/>
      <c r="K9" s="28">
        <v>78518.489176470568</v>
      </c>
      <c r="L9" s="17"/>
      <c r="M9" s="28">
        <v>78552.044999999998</v>
      </c>
      <c r="N9" s="17"/>
      <c r="O9" s="28">
        <v>77531.799999999988</v>
      </c>
      <c r="P9" s="17"/>
      <c r="Q9" s="28">
        <v>80029.961999999985</v>
      </c>
      <c r="R9" s="17"/>
      <c r="S9" s="28">
        <v>84266.137000000002</v>
      </c>
      <c r="T9" s="17"/>
      <c r="U9" s="28">
        <v>88112.297000000006</v>
      </c>
      <c r="V9" s="17"/>
      <c r="W9" s="28">
        <v>88681.3</v>
      </c>
      <c r="X9" s="17"/>
      <c r="Y9" s="28">
        <v>91344.455991400013</v>
      </c>
      <c r="Z9" s="23"/>
      <c r="AA9" s="28">
        <v>97083.94645944002</v>
      </c>
      <c r="AB9" s="23"/>
      <c r="AC9" s="28">
        <v>99488.369557931175</v>
      </c>
      <c r="AD9" s="23"/>
      <c r="AE9" s="28">
        <v>106877.54413924715</v>
      </c>
      <c r="AF9" s="27"/>
      <c r="AG9" s="75">
        <v>109912.21011183987</v>
      </c>
      <c r="AH9" s="27"/>
      <c r="AI9" s="75">
        <v>111636.62352872988</v>
      </c>
      <c r="AJ9" s="23"/>
      <c r="AK9" s="75">
        <v>116457.70334487004</v>
      </c>
      <c r="AL9" s="23"/>
      <c r="AM9" s="75">
        <v>119065.3492030028</v>
      </c>
      <c r="AN9" s="23"/>
      <c r="AO9" s="75">
        <v>123792.6807259997</v>
      </c>
      <c r="AP9" s="23"/>
      <c r="AQ9" s="28">
        <v>126816.70199999999</v>
      </c>
      <c r="AR9" s="27"/>
      <c r="AS9" s="28">
        <v>111013.15450099998</v>
      </c>
      <c r="AT9" s="17"/>
      <c r="AU9" s="28">
        <v>117784.09302863959</v>
      </c>
      <c r="AV9" s="17"/>
      <c r="AW9" s="17"/>
      <c r="AX9" s="16" t="s">
        <v>394</v>
      </c>
      <c r="AY9" s="314"/>
      <c r="AZ9" s="314"/>
    </row>
    <row r="10" spans="2:57" ht="10.5" customHeight="1">
      <c r="B10" s="42">
        <v>2</v>
      </c>
      <c r="C10" s="42"/>
      <c r="D10" s="16" t="s">
        <v>395</v>
      </c>
      <c r="E10" s="28">
        <v>9575</v>
      </c>
      <c r="F10" s="17"/>
      <c r="G10" s="28">
        <v>9683</v>
      </c>
      <c r="H10" s="17"/>
      <c r="I10" s="28">
        <v>8938</v>
      </c>
      <c r="J10" s="17"/>
      <c r="K10" s="28">
        <v>9362.2000000000007</v>
      </c>
      <c r="L10" s="17"/>
      <c r="M10" s="28">
        <v>7254.0590000000002</v>
      </c>
      <c r="N10" s="17"/>
      <c r="O10" s="28">
        <v>6286</v>
      </c>
      <c r="P10" s="17"/>
      <c r="Q10" s="28">
        <v>5965.549</v>
      </c>
      <c r="R10" s="17"/>
      <c r="S10" s="28">
        <v>6175.4989999999998</v>
      </c>
      <c r="T10" s="17"/>
      <c r="U10" s="28">
        <v>6682.6</v>
      </c>
      <c r="V10" s="17"/>
      <c r="W10" s="28">
        <v>6712.8</v>
      </c>
      <c r="X10" s="17"/>
      <c r="Y10" s="28">
        <v>6790.3300000000008</v>
      </c>
      <c r="Z10" s="23"/>
      <c r="AA10" s="28">
        <v>6742.2749999999996</v>
      </c>
      <c r="AB10" s="27"/>
      <c r="AC10" s="28">
        <v>6523.0895</v>
      </c>
      <c r="AD10" s="27"/>
      <c r="AE10" s="28">
        <v>6158.4347377517279</v>
      </c>
      <c r="AF10" s="27"/>
      <c r="AG10" s="75">
        <v>5974.107</v>
      </c>
      <c r="AH10" s="27"/>
      <c r="AI10" s="75">
        <v>5785.3324063700002</v>
      </c>
      <c r="AJ10" s="23"/>
      <c r="AK10" s="75">
        <v>5513.6492687299997</v>
      </c>
      <c r="AL10" s="23"/>
      <c r="AM10" s="75">
        <v>4848.8</v>
      </c>
      <c r="AN10" s="23"/>
      <c r="AO10" s="75">
        <v>5101.5</v>
      </c>
      <c r="AP10" s="23"/>
      <c r="AQ10" s="28">
        <v>5637.1</v>
      </c>
      <c r="AR10" s="27"/>
      <c r="AS10" s="28">
        <v>5288.9966239999994</v>
      </c>
      <c r="AT10" s="17"/>
      <c r="AU10" s="28">
        <v>5081.1412283603868</v>
      </c>
      <c r="AV10" s="17"/>
      <c r="AW10" s="17"/>
      <c r="AX10" s="16" t="s">
        <v>396</v>
      </c>
      <c r="AY10" s="314"/>
      <c r="AZ10" s="314"/>
    </row>
    <row r="11" spans="2:57" ht="10.5" customHeight="1">
      <c r="B11" s="42">
        <v>3</v>
      </c>
      <c r="C11" s="42"/>
      <c r="D11" s="18" t="s">
        <v>231</v>
      </c>
      <c r="E11" s="65">
        <v>77275</v>
      </c>
      <c r="F11" s="66"/>
      <c r="G11" s="65">
        <v>83482</v>
      </c>
      <c r="H11" s="66"/>
      <c r="I11" s="65">
        <v>85881</v>
      </c>
      <c r="J11" s="66"/>
      <c r="K11" s="65">
        <v>87880.689176470565</v>
      </c>
      <c r="L11" s="66"/>
      <c r="M11" s="65">
        <v>85806.103999999992</v>
      </c>
      <c r="N11" s="66"/>
      <c r="O11" s="65">
        <v>83817.799999999988</v>
      </c>
      <c r="P11" s="66"/>
      <c r="Q11" s="65">
        <v>85995.510999999984</v>
      </c>
      <c r="R11" s="66"/>
      <c r="S11" s="65">
        <v>90441.635999999999</v>
      </c>
      <c r="T11" s="66"/>
      <c r="U11" s="65">
        <v>94794.897000000012</v>
      </c>
      <c r="V11" s="66"/>
      <c r="W11" s="65">
        <v>95394.1</v>
      </c>
      <c r="X11" s="66"/>
      <c r="Y11" s="65">
        <v>98134.785991400015</v>
      </c>
      <c r="Z11" s="67"/>
      <c r="AA11" s="65">
        <v>103826.22145944001</v>
      </c>
      <c r="AB11" s="67"/>
      <c r="AC11" s="65">
        <v>106011.45905793118</v>
      </c>
      <c r="AD11" s="67"/>
      <c r="AE11" s="65">
        <v>113035.97887699888</v>
      </c>
      <c r="AF11" s="27"/>
      <c r="AG11" s="65">
        <v>115886.31711183987</v>
      </c>
      <c r="AH11" s="27"/>
      <c r="AI11" s="133">
        <v>117421.95593509988</v>
      </c>
      <c r="AJ11" s="67"/>
      <c r="AK11" s="133">
        <v>121971.35261360004</v>
      </c>
      <c r="AL11" s="67"/>
      <c r="AM11" s="133">
        <v>123914.1492030028</v>
      </c>
      <c r="AN11" s="67"/>
      <c r="AO11" s="133">
        <v>128894.1807259997</v>
      </c>
      <c r="AP11" s="67"/>
      <c r="AQ11" s="65">
        <v>132453.802</v>
      </c>
      <c r="AR11" s="27"/>
      <c r="AS11" s="65">
        <v>116302.15112499997</v>
      </c>
      <c r="AT11" s="17"/>
      <c r="AU11" s="65">
        <v>122865.23425699997</v>
      </c>
      <c r="AV11" s="17"/>
      <c r="AW11" s="17"/>
      <c r="AX11" s="18" t="s">
        <v>84</v>
      </c>
    </row>
    <row r="12" spans="2:57" ht="6" customHeight="1">
      <c r="B12" s="34"/>
      <c r="C12" s="34"/>
      <c r="D12" s="56"/>
      <c r="E12" s="83"/>
      <c r="F12" s="84"/>
      <c r="G12" s="83"/>
      <c r="H12" s="84"/>
      <c r="I12" s="83"/>
      <c r="J12" s="84"/>
      <c r="K12" s="83"/>
      <c r="L12" s="84"/>
      <c r="M12" s="83"/>
      <c r="N12" s="84"/>
      <c r="O12" s="83"/>
      <c r="P12" s="84"/>
      <c r="Q12" s="83"/>
      <c r="R12" s="84"/>
      <c r="S12" s="83"/>
      <c r="T12" s="84"/>
      <c r="U12" s="83"/>
      <c r="V12" s="84"/>
      <c r="W12" s="83"/>
      <c r="X12" s="84"/>
      <c r="Y12" s="83"/>
      <c r="Z12" s="85"/>
      <c r="AA12" s="83"/>
      <c r="AB12" s="72"/>
      <c r="AC12" s="83"/>
      <c r="AD12" s="72"/>
      <c r="AE12" s="83"/>
      <c r="AF12" s="72"/>
      <c r="AG12" s="83"/>
      <c r="AH12" s="72"/>
      <c r="AI12" s="83"/>
      <c r="AJ12" s="72"/>
      <c r="AK12" s="83"/>
      <c r="AL12" s="72"/>
      <c r="AM12" s="83"/>
      <c r="AN12" s="72"/>
      <c r="AO12" s="83"/>
      <c r="AP12" s="72"/>
      <c r="AQ12" s="83"/>
      <c r="AR12" s="72"/>
      <c r="AS12" s="83"/>
      <c r="AT12" s="41"/>
      <c r="AU12" s="83"/>
      <c r="AV12" s="41"/>
      <c r="AW12" s="41"/>
      <c r="AX12" s="56"/>
    </row>
    <row r="13" spans="2:57" ht="6" customHeight="1">
      <c r="B13" s="42"/>
      <c r="C13" s="42"/>
      <c r="D13" s="16"/>
      <c r="E13" s="28"/>
      <c r="F13" s="27"/>
      <c r="G13" s="28"/>
      <c r="H13" s="27"/>
      <c r="I13" s="28"/>
      <c r="J13" s="27"/>
      <c r="K13" s="28"/>
      <c r="L13" s="27"/>
      <c r="M13" s="28"/>
      <c r="N13" s="27"/>
      <c r="O13" s="28"/>
      <c r="P13" s="27"/>
      <c r="Q13" s="28"/>
      <c r="R13" s="27"/>
      <c r="S13" s="28"/>
      <c r="T13" s="27"/>
      <c r="U13" s="28"/>
      <c r="V13" s="27"/>
      <c r="W13" s="28"/>
      <c r="X13" s="17"/>
      <c r="Y13" s="28"/>
      <c r="Z13" s="23"/>
      <c r="AA13" s="28"/>
      <c r="AB13" s="27"/>
      <c r="AC13" s="28"/>
      <c r="AD13" s="27"/>
      <c r="AE13" s="28"/>
      <c r="AF13" s="27"/>
      <c r="AG13" s="28"/>
      <c r="AH13" s="27"/>
      <c r="AI13" s="28"/>
      <c r="AJ13" s="27"/>
      <c r="AK13" s="28"/>
      <c r="AL13" s="27"/>
      <c r="AM13" s="28"/>
      <c r="AN13" s="27"/>
      <c r="AO13" s="28"/>
      <c r="AP13" s="27"/>
      <c r="AQ13" s="28"/>
      <c r="AR13" s="27"/>
      <c r="AS13" s="28"/>
      <c r="AT13" s="17"/>
      <c r="AU13" s="28"/>
      <c r="AV13" s="17"/>
      <c r="AW13" s="17"/>
      <c r="AX13" s="16"/>
    </row>
    <row r="14" spans="2:57" ht="10.5" customHeight="1">
      <c r="B14" s="16"/>
      <c r="C14" s="42"/>
      <c r="D14" s="63" t="s">
        <v>188</v>
      </c>
      <c r="E14" s="28"/>
      <c r="F14" s="27"/>
      <c r="G14" s="28"/>
      <c r="H14" s="27"/>
      <c r="I14" s="28"/>
      <c r="J14" s="27"/>
      <c r="K14" s="28"/>
      <c r="L14" s="27"/>
      <c r="M14" s="28"/>
      <c r="N14" s="27"/>
      <c r="O14" s="28"/>
      <c r="P14" s="27"/>
      <c r="Q14" s="28"/>
      <c r="R14" s="27"/>
      <c r="S14" s="28"/>
      <c r="T14" s="27"/>
      <c r="U14" s="28"/>
      <c r="V14" s="27"/>
      <c r="W14" s="28"/>
      <c r="X14" s="17"/>
      <c r="Y14" s="28"/>
      <c r="Z14" s="23"/>
      <c r="AA14" s="28"/>
      <c r="AB14" s="27"/>
      <c r="AC14" s="28"/>
      <c r="AD14" s="27"/>
      <c r="AE14" s="28"/>
      <c r="AF14" s="27"/>
      <c r="AG14" s="28"/>
      <c r="AH14" s="27"/>
      <c r="AI14" s="28"/>
      <c r="AJ14" s="27"/>
      <c r="AK14" s="28"/>
      <c r="AL14" s="27"/>
      <c r="AM14" s="28"/>
      <c r="AN14" s="27"/>
      <c r="AO14" s="28"/>
      <c r="AP14" s="27"/>
      <c r="AQ14" s="28"/>
      <c r="AR14" s="27"/>
      <c r="AS14" s="28"/>
      <c r="AT14" s="17"/>
      <c r="AU14" s="28"/>
      <c r="AV14" s="17"/>
      <c r="AW14" s="17"/>
      <c r="AX14" s="63" t="s">
        <v>199</v>
      </c>
    </row>
    <row r="15" spans="2:57" ht="10.5" customHeight="1">
      <c r="B15" s="42">
        <v>4</v>
      </c>
      <c r="C15" s="42"/>
      <c r="D15" s="16" t="s">
        <v>393</v>
      </c>
      <c r="E15" s="28">
        <v>35624.195999999996</v>
      </c>
      <c r="F15" s="17"/>
      <c r="G15" s="28">
        <v>36073</v>
      </c>
      <c r="H15" s="17"/>
      <c r="I15" s="28">
        <v>35893.845000000001</v>
      </c>
      <c r="J15" s="17"/>
      <c r="K15" s="28">
        <v>36284.996666666666</v>
      </c>
      <c r="L15" s="17"/>
      <c r="M15" s="28">
        <v>38500.9</v>
      </c>
      <c r="N15" s="17"/>
      <c r="O15" s="28">
        <v>40130.4617</v>
      </c>
      <c r="P15" s="17"/>
      <c r="Q15" s="28">
        <v>41824.706889999994</v>
      </c>
      <c r="R15" s="17"/>
      <c r="S15" s="28">
        <v>41927.991000000002</v>
      </c>
      <c r="T15" s="17"/>
      <c r="U15" s="28">
        <v>43706.37887</v>
      </c>
      <c r="V15" s="17"/>
      <c r="W15" s="28">
        <v>37218</v>
      </c>
      <c r="X15" s="17"/>
      <c r="Y15" s="28">
        <v>39166.830999999998</v>
      </c>
      <c r="Z15" s="23"/>
      <c r="AA15" s="28">
        <v>40198.431114255654</v>
      </c>
      <c r="AB15" s="67"/>
      <c r="AC15" s="28">
        <v>36924.149224728273</v>
      </c>
      <c r="AD15" s="67"/>
      <c r="AE15" s="28">
        <v>35361.96652546079</v>
      </c>
      <c r="AF15" s="67"/>
      <c r="AG15" s="28">
        <v>34832.380430831225</v>
      </c>
      <c r="AH15" s="27"/>
      <c r="AI15" s="28">
        <v>33224.799613279138</v>
      </c>
      <c r="AJ15" s="23"/>
      <c r="AK15" s="28">
        <v>33645.248485239965</v>
      </c>
      <c r="AL15" s="23"/>
      <c r="AM15" s="28">
        <v>34515.088495000004</v>
      </c>
      <c r="AN15" s="23"/>
      <c r="AO15" s="28">
        <v>34147.90010283333</v>
      </c>
      <c r="AP15" s="23"/>
      <c r="AQ15" s="28">
        <v>33612.224711791816</v>
      </c>
      <c r="AR15" s="27"/>
      <c r="AS15" s="28">
        <v>33349.525098700884</v>
      </c>
      <c r="AT15" s="17"/>
      <c r="AU15" s="28">
        <v>35118.2108289639</v>
      </c>
      <c r="AV15" s="17"/>
      <c r="AW15" s="17"/>
      <c r="AX15" s="16" t="s">
        <v>394</v>
      </c>
      <c r="AY15" s="314"/>
      <c r="BE15" s="82"/>
    </row>
    <row r="16" spans="2:57" ht="10.5" customHeight="1">
      <c r="B16" s="42">
        <v>5</v>
      </c>
      <c r="C16" s="42"/>
      <c r="D16" s="16" t="s">
        <v>395</v>
      </c>
      <c r="E16" s="28">
        <v>3304.5</v>
      </c>
      <c r="F16" s="17"/>
      <c r="G16" s="28">
        <v>3125</v>
      </c>
      <c r="H16" s="17"/>
      <c r="I16" s="28">
        <v>2965.0749999999998</v>
      </c>
      <c r="J16" s="17"/>
      <c r="K16" s="28">
        <v>3143.8919999999998</v>
      </c>
      <c r="L16" s="17"/>
      <c r="M16" s="28">
        <v>3394.7036666666663</v>
      </c>
      <c r="N16" s="17"/>
      <c r="O16" s="28">
        <v>3734.6666666666665</v>
      </c>
      <c r="P16" s="17"/>
      <c r="Q16" s="28">
        <v>3630.8969099999999</v>
      </c>
      <c r="R16" s="17"/>
      <c r="S16" s="28">
        <v>3534.6666666666665</v>
      </c>
      <c r="T16" s="17"/>
      <c r="U16" s="28">
        <v>3966.9349999999999</v>
      </c>
      <c r="V16" s="17"/>
      <c r="W16" s="28">
        <v>3200.2749999999996</v>
      </c>
      <c r="X16" s="17"/>
      <c r="Y16" s="28">
        <v>3280.2979999999998</v>
      </c>
      <c r="Z16" s="23"/>
      <c r="AA16" s="28">
        <v>3165.9688857443489</v>
      </c>
      <c r="AB16" s="67"/>
      <c r="AC16" s="28">
        <v>2795.095742306115</v>
      </c>
      <c r="AD16" s="67"/>
      <c r="AE16" s="28">
        <v>2787.2721703392053</v>
      </c>
      <c r="AF16" s="67"/>
      <c r="AG16" s="28">
        <v>2265.2666811887784</v>
      </c>
      <c r="AH16" s="27"/>
      <c r="AI16" s="28">
        <v>2233.4650657056368</v>
      </c>
      <c r="AJ16" s="23"/>
      <c r="AK16" s="28">
        <v>2106.5833748900004</v>
      </c>
      <c r="AL16" s="23"/>
      <c r="AM16" s="28">
        <v>1954.3859999999991</v>
      </c>
      <c r="AN16" s="23"/>
      <c r="AO16" s="28">
        <v>2053.0531941666659</v>
      </c>
      <c r="AP16" s="23"/>
      <c r="AQ16" s="28">
        <v>1989.1916954375349</v>
      </c>
      <c r="AR16" s="27"/>
      <c r="AS16" s="28">
        <v>1701.2777592991145</v>
      </c>
      <c r="AT16" s="17"/>
      <c r="AU16" s="28">
        <v>1198.03677504606</v>
      </c>
      <c r="AV16" s="17"/>
      <c r="AW16" s="17"/>
      <c r="AX16" s="16" t="s">
        <v>396</v>
      </c>
      <c r="BE16" s="82"/>
    </row>
    <row r="17" spans="1:64" ht="10.5" customHeight="1">
      <c r="B17" s="42">
        <v>6</v>
      </c>
      <c r="C17" s="42"/>
      <c r="D17" s="18" t="s">
        <v>231</v>
      </c>
      <c r="E17" s="65">
        <v>38928.695999999996</v>
      </c>
      <c r="F17" s="66"/>
      <c r="G17" s="65">
        <v>39198</v>
      </c>
      <c r="H17" s="66"/>
      <c r="I17" s="65">
        <v>38858.92</v>
      </c>
      <c r="J17" s="66"/>
      <c r="K17" s="65">
        <v>39428.888666666666</v>
      </c>
      <c r="L17" s="66"/>
      <c r="M17" s="65">
        <v>41895.60366666667</v>
      </c>
      <c r="N17" s="66"/>
      <c r="O17" s="65">
        <v>43865.128366666664</v>
      </c>
      <c r="P17" s="66"/>
      <c r="Q17" s="65">
        <v>45455.603799999997</v>
      </c>
      <c r="R17" s="66"/>
      <c r="S17" s="65">
        <v>45462.657666666666</v>
      </c>
      <c r="T17" s="66"/>
      <c r="U17" s="65">
        <v>47673.313869999998</v>
      </c>
      <c r="V17" s="66"/>
      <c r="W17" s="65">
        <v>40418.275000000001</v>
      </c>
      <c r="X17" s="66"/>
      <c r="Y17" s="65">
        <v>42447.129000000001</v>
      </c>
      <c r="Z17" s="67"/>
      <c r="AA17" s="65">
        <v>43364.4</v>
      </c>
      <c r="AB17" s="67"/>
      <c r="AC17" s="65">
        <v>39719.244967034392</v>
      </c>
      <c r="AD17" s="67"/>
      <c r="AE17" s="65">
        <v>38149.238695799999</v>
      </c>
      <c r="AF17" s="67"/>
      <c r="AG17" s="65">
        <v>37097.64711202</v>
      </c>
      <c r="AH17" s="27"/>
      <c r="AI17" s="65">
        <v>35458.264678984771</v>
      </c>
      <c r="AJ17" s="67"/>
      <c r="AK17" s="65">
        <v>35751.831860129969</v>
      </c>
      <c r="AL17" s="67"/>
      <c r="AM17" s="65">
        <v>36469.474495000002</v>
      </c>
      <c r="AN17" s="67"/>
      <c r="AO17" s="65">
        <v>36200.953296999993</v>
      </c>
      <c r="AP17" s="23"/>
      <c r="AQ17" s="65">
        <v>35601.41640722935</v>
      </c>
      <c r="AR17" s="27"/>
      <c r="AS17" s="65">
        <v>35050.802857999995</v>
      </c>
      <c r="AT17" s="17"/>
      <c r="AU17" s="65">
        <v>36316.247604009957</v>
      </c>
      <c r="AV17" s="17"/>
      <c r="AW17" s="17"/>
      <c r="AX17" s="18" t="s">
        <v>84</v>
      </c>
      <c r="BE17" s="82"/>
      <c r="BF17" s="82"/>
      <c r="BG17" s="82"/>
    </row>
    <row r="18" spans="1:64" ht="6" customHeight="1">
      <c r="B18" s="34"/>
      <c r="C18" s="34"/>
      <c r="D18" s="70"/>
      <c r="E18" s="71"/>
      <c r="F18" s="41"/>
      <c r="G18" s="71"/>
      <c r="H18" s="41"/>
      <c r="I18" s="71"/>
      <c r="J18" s="41"/>
      <c r="K18" s="71"/>
      <c r="L18" s="41"/>
      <c r="M18" s="71"/>
      <c r="N18" s="41"/>
      <c r="O18" s="71"/>
      <c r="P18" s="41"/>
      <c r="Q18" s="71"/>
      <c r="R18" s="41"/>
      <c r="S18" s="71"/>
      <c r="T18" s="41"/>
      <c r="U18" s="71"/>
      <c r="V18" s="41"/>
      <c r="W18" s="71"/>
      <c r="X18" s="41"/>
      <c r="Y18" s="71"/>
      <c r="Z18" s="40"/>
      <c r="AA18" s="71"/>
      <c r="AB18" s="72"/>
      <c r="AC18" s="71"/>
      <c r="AD18" s="72"/>
      <c r="AE18" s="71"/>
      <c r="AF18" s="72"/>
      <c r="AG18" s="71"/>
      <c r="AH18" s="72"/>
      <c r="AI18" s="71"/>
      <c r="AJ18" s="72"/>
      <c r="AK18" s="71"/>
      <c r="AL18" s="72"/>
      <c r="AM18" s="71"/>
      <c r="AN18" s="72"/>
      <c r="AO18" s="71"/>
      <c r="AP18" s="72"/>
      <c r="AQ18" s="71"/>
      <c r="AR18" s="72"/>
      <c r="AS18" s="71"/>
      <c r="AT18" s="41"/>
      <c r="AU18" s="71"/>
      <c r="AV18" s="41"/>
      <c r="AW18" s="41"/>
      <c r="AX18" s="70"/>
      <c r="BE18" s="82"/>
    </row>
    <row r="19" spans="1:64" ht="6" customHeight="1">
      <c r="B19" s="42"/>
      <c r="C19" s="42"/>
      <c r="D19" s="16"/>
      <c r="E19" s="28"/>
      <c r="F19" s="17"/>
      <c r="G19" s="28"/>
      <c r="H19" s="17"/>
      <c r="I19" s="28"/>
      <c r="J19" s="17"/>
      <c r="K19" s="28"/>
      <c r="L19" s="17"/>
      <c r="M19" s="28"/>
      <c r="N19" s="17"/>
      <c r="O19" s="28"/>
      <c r="P19" s="17"/>
      <c r="Q19" s="28"/>
      <c r="R19" s="17"/>
      <c r="S19" s="28"/>
      <c r="T19" s="17"/>
      <c r="U19" s="28"/>
      <c r="V19" s="17"/>
      <c r="W19" s="28"/>
      <c r="X19" s="17"/>
      <c r="Y19" s="28"/>
      <c r="Z19" s="23"/>
      <c r="AA19" s="28"/>
      <c r="AB19" s="27"/>
      <c r="AC19" s="28"/>
      <c r="AD19" s="27"/>
      <c r="AE19" s="28"/>
      <c r="AF19" s="27"/>
      <c r="AG19" s="28"/>
      <c r="AH19" s="27"/>
      <c r="AI19" s="28"/>
      <c r="AJ19" s="27"/>
      <c r="AK19" s="28"/>
      <c r="AL19" s="27"/>
      <c r="AM19" s="28"/>
      <c r="AN19" s="27"/>
      <c r="AO19" s="28"/>
      <c r="AP19" s="27"/>
      <c r="AQ19" s="28"/>
      <c r="AR19" s="27"/>
      <c r="AS19" s="28"/>
      <c r="AT19" s="17"/>
      <c r="AU19" s="28"/>
      <c r="AV19" s="17"/>
      <c r="AW19" s="17"/>
      <c r="AX19" s="16"/>
      <c r="BE19" s="82"/>
    </row>
    <row r="20" spans="1:64" ht="10.5" customHeight="1">
      <c r="B20" s="42">
        <v>7</v>
      </c>
      <c r="C20" s="42"/>
      <c r="D20" s="16" t="s">
        <v>397</v>
      </c>
      <c r="E20" s="28">
        <v>103324.196</v>
      </c>
      <c r="F20" s="17"/>
      <c r="G20" s="28">
        <v>109872</v>
      </c>
      <c r="H20" s="17"/>
      <c r="I20" s="28">
        <v>112836.845</v>
      </c>
      <c r="J20" s="17"/>
      <c r="K20" s="28">
        <v>114803.48584313723</v>
      </c>
      <c r="L20" s="17"/>
      <c r="M20" s="28">
        <v>117052.94500000001</v>
      </c>
      <c r="N20" s="17"/>
      <c r="O20" s="28">
        <v>117662.26169999999</v>
      </c>
      <c r="P20" s="17"/>
      <c r="Q20" s="28">
        <v>121854.66888999997</v>
      </c>
      <c r="R20" s="17"/>
      <c r="S20" s="28">
        <v>126194.128</v>
      </c>
      <c r="T20" s="17"/>
      <c r="U20" s="28">
        <v>131818.67587000001</v>
      </c>
      <c r="V20" s="17"/>
      <c r="W20" s="28">
        <v>125899.3</v>
      </c>
      <c r="X20" s="17"/>
      <c r="Y20" s="28">
        <v>130511.2869914</v>
      </c>
      <c r="Z20" s="23"/>
      <c r="AA20" s="28">
        <v>137282.37757369567</v>
      </c>
      <c r="AB20" s="67"/>
      <c r="AC20" s="28">
        <v>136412.51878265943</v>
      </c>
      <c r="AD20" s="67"/>
      <c r="AE20" s="28">
        <v>142239.51066470795</v>
      </c>
      <c r="AF20" s="67"/>
      <c r="AG20" s="75">
        <v>144744.5905426711</v>
      </c>
      <c r="AH20" s="27"/>
      <c r="AI20" s="75">
        <v>144861.42314200901</v>
      </c>
      <c r="AJ20" s="23"/>
      <c r="AK20" s="75">
        <v>150102.95183010999</v>
      </c>
      <c r="AL20" s="23"/>
      <c r="AM20" s="75">
        <v>153580.43769800279</v>
      </c>
      <c r="AN20" s="23"/>
      <c r="AO20" s="75">
        <v>157940.58082883304</v>
      </c>
      <c r="AP20" s="23"/>
      <c r="AQ20" s="28">
        <v>160428.92671179181</v>
      </c>
      <c r="AS20" s="28">
        <v>144362.67959970087</v>
      </c>
      <c r="AT20" s="17"/>
      <c r="AU20" s="28">
        <v>152902.30385760349</v>
      </c>
      <c r="AV20" s="17"/>
      <c r="AW20" s="17"/>
      <c r="AX20" s="16" t="s">
        <v>398</v>
      </c>
      <c r="AY20" s="314"/>
      <c r="BE20" s="82"/>
    </row>
    <row r="21" spans="1:64" ht="10.5" customHeight="1">
      <c r="B21" s="42">
        <v>8</v>
      </c>
      <c r="C21" s="42"/>
      <c r="D21" s="16" t="s">
        <v>399</v>
      </c>
      <c r="E21" s="28">
        <v>12879.5</v>
      </c>
      <c r="F21" s="17"/>
      <c r="G21" s="28">
        <v>12808</v>
      </c>
      <c r="H21" s="17"/>
      <c r="I21" s="28">
        <v>11903.075000000001</v>
      </c>
      <c r="J21" s="17"/>
      <c r="K21" s="28">
        <v>12506.092000000001</v>
      </c>
      <c r="L21" s="17"/>
      <c r="M21" s="28">
        <v>10648.762666666666</v>
      </c>
      <c r="N21" s="17"/>
      <c r="O21" s="28">
        <v>10020.666666666666</v>
      </c>
      <c r="P21" s="17"/>
      <c r="Q21" s="28">
        <v>9596.4459100000004</v>
      </c>
      <c r="R21" s="17"/>
      <c r="S21" s="28">
        <v>9710.1656666666659</v>
      </c>
      <c r="T21" s="17"/>
      <c r="U21" s="28">
        <v>10649.535</v>
      </c>
      <c r="V21" s="17"/>
      <c r="W21" s="28">
        <v>9913.0750000000007</v>
      </c>
      <c r="X21" s="17"/>
      <c r="Y21" s="28">
        <v>10070.628000000001</v>
      </c>
      <c r="Z21" s="23"/>
      <c r="AA21" s="28">
        <v>9908.2438857443485</v>
      </c>
      <c r="AB21" s="67"/>
      <c r="AC21" s="28">
        <v>9318.1852423061155</v>
      </c>
      <c r="AD21" s="67"/>
      <c r="AE21" s="28">
        <v>8945.7069080909332</v>
      </c>
      <c r="AF21" s="67"/>
      <c r="AG21" s="75">
        <v>8239.3736811887793</v>
      </c>
      <c r="AH21" s="27"/>
      <c r="AI21" s="75">
        <v>8018.7974720756374</v>
      </c>
      <c r="AJ21" s="23"/>
      <c r="AK21" s="75">
        <v>7620.2326436200001</v>
      </c>
      <c r="AL21" s="23"/>
      <c r="AM21" s="75">
        <v>6803.1859999999997</v>
      </c>
      <c r="AN21" s="23"/>
      <c r="AO21" s="75">
        <v>7154.5531941666659</v>
      </c>
      <c r="AP21" s="23"/>
      <c r="AQ21" s="28">
        <v>7626.2916954375351</v>
      </c>
      <c r="AR21" s="27"/>
      <c r="AS21" s="28">
        <v>6990.2743832991137</v>
      </c>
      <c r="AT21" s="17"/>
      <c r="AU21" s="28">
        <v>6279.1780034064468</v>
      </c>
      <c r="AV21" s="17"/>
      <c r="AW21" s="17"/>
      <c r="AX21" s="16" t="s">
        <v>400</v>
      </c>
      <c r="AY21" s="314"/>
      <c r="BE21" s="82"/>
    </row>
    <row r="22" spans="1:64" ht="10.5" customHeight="1">
      <c r="B22" s="42">
        <v>9</v>
      </c>
      <c r="C22" s="42"/>
      <c r="D22" s="18" t="s">
        <v>68</v>
      </c>
      <c r="E22" s="65">
        <v>116203.696</v>
      </c>
      <c r="F22" s="66"/>
      <c r="G22" s="65">
        <v>122680</v>
      </c>
      <c r="H22" s="66"/>
      <c r="I22" s="65">
        <v>124739.92</v>
      </c>
      <c r="J22" s="66"/>
      <c r="K22" s="65">
        <v>127309.57784313723</v>
      </c>
      <c r="L22" s="66"/>
      <c r="M22" s="65">
        <v>127701.70766666667</v>
      </c>
      <c r="N22" s="66"/>
      <c r="O22" s="65">
        <v>127682.92836666666</v>
      </c>
      <c r="P22" s="66"/>
      <c r="Q22" s="65">
        <v>131451.11479999998</v>
      </c>
      <c r="R22" s="66"/>
      <c r="S22" s="65">
        <v>135904.29366666666</v>
      </c>
      <c r="T22" s="66"/>
      <c r="U22" s="65">
        <v>142468.21087000001</v>
      </c>
      <c r="V22" s="66"/>
      <c r="W22" s="65">
        <v>135812.375</v>
      </c>
      <c r="X22" s="66"/>
      <c r="Y22" s="65">
        <v>140581.91499140003</v>
      </c>
      <c r="Z22" s="67"/>
      <c r="AA22" s="65">
        <v>147190.62145944001</v>
      </c>
      <c r="AB22" s="67"/>
      <c r="AC22" s="65">
        <v>145730.70402496558</v>
      </c>
      <c r="AD22" s="67"/>
      <c r="AE22" s="65">
        <v>151185.21757279889</v>
      </c>
      <c r="AF22" s="67"/>
      <c r="AG22" s="65">
        <v>152983.96422385989</v>
      </c>
      <c r="AH22" s="27"/>
      <c r="AI22" s="133">
        <v>152880.22061408465</v>
      </c>
      <c r="AJ22" s="67"/>
      <c r="AK22" s="133">
        <v>157723.18447372998</v>
      </c>
      <c r="AL22" s="67"/>
      <c r="AM22" s="133">
        <v>160383.62369800278</v>
      </c>
      <c r="AN22" s="67"/>
      <c r="AO22" s="133">
        <v>165095.1340229997</v>
      </c>
      <c r="AP22" s="67"/>
      <c r="AQ22" s="65">
        <v>168055.21840722935</v>
      </c>
      <c r="AR22" s="27"/>
      <c r="AS22" s="65">
        <v>151352.95398299996</v>
      </c>
      <c r="AT22" s="17"/>
      <c r="AU22" s="65">
        <v>159181.48186100993</v>
      </c>
      <c r="AV22" s="17"/>
      <c r="AW22" s="17"/>
      <c r="AX22" s="18" t="s">
        <v>274</v>
      </c>
      <c r="BE22" s="82"/>
    </row>
    <row r="23" spans="1:64" ht="6" customHeight="1">
      <c r="A23" s="77"/>
      <c r="B23" s="34"/>
      <c r="C23" s="34"/>
      <c r="D23" s="35"/>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35"/>
      <c r="BE23" s="82"/>
    </row>
    <row r="24" spans="1:64" ht="6" customHeight="1">
      <c r="B24" s="42"/>
      <c r="C24" s="42"/>
      <c r="D24" s="24"/>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24"/>
      <c r="BE24" s="82"/>
    </row>
    <row r="25" spans="1:64" ht="12.75" customHeight="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BE25" s="82"/>
      <c r="BF25" s="82"/>
      <c r="BG25" s="82"/>
      <c r="BH25" s="82"/>
      <c r="BI25" s="82"/>
      <c r="BJ25" s="82"/>
      <c r="BK25" s="82"/>
      <c r="BL25" s="82"/>
    </row>
    <row r="26" spans="1:64" ht="14.25" customHeight="1">
      <c r="B26" s="523" t="s">
        <v>401</v>
      </c>
      <c r="C26" s="523"/>
      <c r="D26" s="523"/>
      <c r="E26" s="497"/>
      <c r="F26" s="502"/>
      <c r="G26" s="497"/>
      <c r="H26" s="502"/>
      <c r="I26" s="497"/>
      <c r="J26" s="502"/>
      <c r="K26" s="497"/>
      <c r="L26" s="502"/>
      <c r="M26" s="497"/>
      <c r="N26" s="502"/>
      <c r="O26" s="497"/>
      <c r="P26" s="502"/>
      <c r="Q26" s="497"/>
      <c r="R26" s="502"/>
      <c r="S26" s="497"/>
      <c r="T26" s="477"/>
      <c r="U26" s="497"/>
      <c r="V26" s="477"/>
      <c r="W26" s="497"/>
      <c r="X26" s="477"/>
      <c r="Y26" s="497"/>
      <c r="Z26" s="477"/>
      <c r="AA26" s="497"/>
      <c r="AB26" s="477"/>
      <c r="AC26" s="42"/>
      <c r="AD26" s="286"/>
      <c r="AE26" s="42"/>
      <c r="AF26" s="286"/>
      <c r="AG26" s="42"/>
      <c r="AH26" s="286"/>
      <c r="AI26" s="42"/>
      <c r="AJ26" s="286"/>
      <c r="AK26" s="42"/>
      <c r="AL26" s="286"/>
      <c r="AM26" s="497"/>
      <c r="AN26" s="497"/>
      <c r="AO26" s="497"/>
      <c r="AP26" s="497"/>
      <c r="AQ26" s="497"/>
      <c r="AR26" s="497"/>
      <c r="AX26" s="63" t="s">
        <v>402</v>
      </c>
      <c r="AY26" s="63"/>
      <c r="BE26" s="82"/>
      <c r="BF26" s="82"/>
      <c r="BG26" s="82"/>
    </row>
    <row r="27" spans="1:64" ht="6" customHeight="1">
      <c r="B27" s="79"/>
      <c r="C27" s="79"/>
      <c r="D27" s="79"/>
      <c r="E27" s="80"/>
      <c r="F27" s="81"/>
      <c r="G27" s="80"/>
      <c r="H27" s="81"/>
      <c r="I27" s="80"/>
      <c r="J27" s="81"/>
      <c r="K27" s="80"/>
      <c r="L27" s="81"/>
      <c r="M27" s="80"/>
      <c r="N27" s="81"/>
      <c r="O27" s="80"/>
      <c r="P27" s="81"/>
      <c r="Q27" s="80"/>
      <c r="R27" s="81"/>
      <c r="S27" s="80"/>
      <c r="T27" s="7"/>
      <c r="U27" s="80"/>
      <c r="V27" s="7"/>
      <c r="W27" s="80"/>
      <c r="X27" s="7"/>
      <c r="Y27" s="80"/>
      <c r="Z27" s="7"/>
      <c r="AA27" s="80"/>
      <c r="AB27" s="7"/>
      <c r="AC27" s="80"/>
      <c r="AD27" s="7"/>
      <c r="AE27" s="80"/>
      <c r="AF27" s="7"/>
      <c r="AG27" s="80"/>
      <c r="AH27" s="7"/>
      <c r="AI27" s="80"/>
      <c r="AJ27" s="7"/>
      <c r="AK27" s="80"/>
      <c r="AL27" s="7"/>
      <c r="AM27" s="80"/>
      <c r="AN27" s="7"/>
      <c r="AO27" s="80"/>
      <c r="AP27" s="7"/>
      <c r="AQ27" s="80"/>
      <c r="AR27" s="7"/>
      <c r="AS27" s="79"/>
      <c r="AT27" s="79"/>
      <c r="AU27" s="79"/>
      <c r="AV27" s="79"/>
      <c r="AW27" s="79"/>
      <c r="AX27" s="79"/>
      <c r="BE27" s="82"/>
      <c r="BF27" s="82"/>
      <c r="BG27" s="82"/>
    </row>
    <row r="28" spans="1:64" ht="6" customHeight="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BE28" s="82"/>
      <c r="BF28" s="82"/>
      <c r="BG28" s="82"/>
    </row>
    <row r="29" spans="1:64" ht="10.5" customHeight="1">
      <c r="B29" s="42"/>
      <c r="C29" s="42"/>
      <c r="D29" s="63" t="s">
        <v>9</v>
      </c>
      <c r="E29" s="17"/>
      <c r="F29" s="27"/>
      <c r="G29" s="17"/>
      <c r="H29" s="27"/>
      <c r="I29" s="17"/>
      <c r="J29" s="27"/>
      <c r="K29" s="17"/>
      <c r="L29" s="27"/>
      <c r="M29" s="17"/>
      <c r="N29" s="27"/>
      <c r="O29" s="17"/>
      <c r="P29" s="27"/>
      <c r="Q29" s="17"/>
      <c r="R29" s="27"/>
      <c r="S29" s="17"/>
      <c r="T29" s="27"/>
      <c r="U29" s="17"/>
      <c r="V29" s="27"/>
      <c r="W29" s="17"/>
      <c r="X29" s="27"/>
      <c r="Y29" s="17"/>
      <c r="Z29" s="27"/>
      <c r="AA29" s="17"/>
      <c r="AB29" s="27"/>
      <c r="AC29" s="17"/>
      <c r="AD29" s="27"/>
      <c r="AE29" s="17"/>
      <c r="AF29" s="27"/>
      <c r="AG29" s="17"/>
      <c r="AH29" s="27"/>
      <c r="AI29" s="17"/>
      <c r="AJ29" s="27"/>
      <c r="AK29" s="17"/>
      <c r="AL29" s="27"/>
      <c r="AM29" s="17"/>
      <c r="AN29" s="27"/>
      <c r="AO29" s="17"/>
      <c r="AP29" s="27"/>
      <c r="AQ29" s="17"/>
      <c r="AR29" s="27"/>
      <c r="AS29" s="17"/>
      <c r="AT29" s="17"/>
      <c r="AU29" s="17"/>
      <c r="AV29" s="17"/>
      <c r="AW29" s="17"/>
      <c r="AX29" s="63" t="s">
        <v>12</v>
      </c>
      <c r="BE29" s="82"/>
      <c r="BF29" s="82"/>
      <c r="BG29" s="82"/>
    </row>
    <row r="30" spans="1:64" ht="10.5" customHeight="1">
      <c r="B30" s="42">
        <v>10</v>
      </c>
      <c r="C30" s="42"/>
      <c r="D30" s="16" t="s">
        <v>393</v>
      </c>
      <c r="E30" s="28">
        <v>15084.2</v>
      </c>
      <c r="F30" s="75"/>
      <c r="G30" s="28">
        <v>15858.286</v>
      </c>
      <c r="H30" s="75"/>
      <c r="I30" s="28">
        <v>16379.1</v>
      </c>
      <c r="J30" s="75"/>
      <c r="K30" s="28">
        <v>16367.725882352941</v>
      </c>
      <c r="L30" s="75"/>
      <c r="M30" s="28">
        <v>16346.223452</v>
      </c>
      <c r="N30" s="75"/>
      <c r="O30" s="28">
        <v>16009.000000000002</v>
      </c>
      <c r="P30" s="75"/>
      <c r="Q30" s="28">
        <v>17240.373838</v>
      </c>
      <c r="R30" s="75"/>
      <c r="S30" s="28">
        <v>18549.293728000001</v>
      </c>
      <c r="T30" s="75"/>
      <c r="U30" s="28">
        <v>19675.478999999996</v>
      </c>
      <c r="V30" s="75"/>
      <c r="W30" s="28">
        <v>20298.969000000005</v>
      </c>
      <c r="X30" s="75"/>
      <c r="Y30" s="28">
        <v>20338.562327767198</v>
      </c>
      <c r="Z30" s="23"/>
      <c r="AA30" s="28">
        <v>22034.38460545913</v>
      </c>
      <c r="AB30" s="23"/>
      <c r="AC30" s="28">
        <v>23339.559224818302</v>
      </c>
      <c r="AD30" s="23"/>
      <c r="AE30" s="28">
        <v>25366.475533547909</v>
      </c>
      <c r="AF30" s="16"/>
      <c r="AG30" s="75">
        <v>25640.574805772525</v>
      </c>
      <c r="AH30" s="23"/>
      <c r="AI30" s="75">
        <v>26178.174770176218</v>
      </c>
      <c r="AJ30" s="23"/>
      <c r="AK30" s="75">
        <v>27177.373615591441</v>
      </c>
      <c r="AL30" s="23"/>
      <c r="AM30" s="75">
        <v>28236.197022858527</v>
      </c>
      <c r="AN30" s="23"/>
      <c r="AO30" s="75">
        <v>29109.494541104021</v>
      </c>
      <c r="AP30" s="23"/>
      <c r="AQ30" s="28">
        <v>29946.928185303499</v>
      </c>
      <c r="AR30" s="16"/>
      <c r="AS30" s="28">
        <v>25980.365023078102</v>
      </c>
      <c r="AT30" s="17"/>
      <c r="AU30" s="28">
        <v>28500.165823070824</v>
      </c>
      <c r="AV30" s="17"/>
      <c r="AW30" s="17"/>
      <c r="AX30" s="16" t="s">
        <v>394</v>
      </c>
      <c r="AY30" s="314"/>
      <c r="AZ30" s="314"/>
      <c r="BE30" s="82"/>
      <c r="BF30" s="82"/>
      <c r="BG30" s="82"/>
    </row>
    <row r="31" spans="1:64" ht="10.5" customHeight="1">
      <c r="B31" s="42">
        <v>11</v>
      </c>
      <c r="C31" s="42"/>
      <c r="D31" s="16" t="s">
        <v>395</v>
      </c>
      <c r="E31" s="28">
        <v>740.2</v>
      </c>
      <c r="F31" s="75"/>
      <c r="G31" s="28">
        <v>746.5</v>
      </c>
      <c r="H31" s="75"/>
      <c r="I31" s="28">
        <v>679.5</v>
      </c>
      <c r="J31" s="75"/>
      <c r="K31" s="28">
        <v>694.8</v>
      </c>
      <c r="L31" s="75"/>
      <c r="M31" s="28">
        <v>609.45329900000002</v>
      </c>
      <c r="N31" s="75"/>
      <c r="O31" s="28">
        <v>512.6</v>
      </c>
      <c r="P31" s="75"/>
      <c r="Q31" s="28">
        <v>476.18369799999999</v>
      </c>
      <c r="R31" s="75"/>
      <c r="S31" s="28">
        <v>471.90967000000001</v>
      </c>
      <c r="T31" s="75"/>
      <c r="U31" s="28">
        <v>511.4</v>
      </c>
      <c r="V31" s="75"/>
      <c r="W31" s="28">
        <v>488.81</v>
      </c>
      <c r="X31" s="75"/>
      <c r="Y31" s="28">
        <v>490.84903706050045</v>
      </c>
      <c r="Z31" s="23"/>
      <c r="AA31" s="28">
        <v>534.41396974976237</v>
      </c>
      <c r="AB31" s="23"/>
      <c r="AC31" s="28">
        <v>529.14340354767182</v>
      </c>
      <c r="AD31" s="23"/>
      <c r="AE31" s="28">
        <v>490.44703166578438</v>
      </c>
      <c r="AF31" s="23"/>
      <c r="AG31" s="75">
        <v>483.70874768324359</v>
      </c>
      <c r="AH31" s="23"/>
      <c r="AI31" s="75">
        <v>474.89319545114188</v>
      </c>
      <c r="AJ31" s="23"/>
      <c r="AK31" s="75">
        <v>457.89834100000002</v>
      </c>
      <c r="AL31" s="23"/>
      <c r="AM31" s="75">
        <v>420.70000000000005</v>
      </c>
      <c r="AN31" s="23"/>
      <c r="AO31" s="75">
        <v>450.5</v>
      </c>
      <c r="AP31" s="23"/>
      <c r="AQ31" s="28">
        <v>475.38599999999997</v>
      </c>
      <c r="AR31" s="16"/>
      <c r="AS31" s="28">
        <v>463.2</v>
      </c>
      <c r="AT31" s="17"/>
      <c r="AU31" s="28">
        <v>438.96538882156477</v>
      </c>
      <c r="AV31" s="17"/>
      <c r="AW31" s="17"/>
      <c r="AX31" s="16" t="s">
        <v>396</v>
      </c>
      <c r="AY31" s="314"/>
      <c r="AZ31" s="314"/>
      <c r="BE31" s="82"/>
      <c r="BF31" s="82"/>
      <c r="BG31" s="82"/>
    </row>
    <row r="32" spans="1:64" ht="10.5" customHeight="1">
      <c r="B32" s="42">
        <v>12</v>
      </c>
      <c r="C32" s="42"/>
      <c r="D32" s="18" t="s">
        <v>231</v>
      </c>
      <c r="E32" s="65">
        <v>15824.400000000001</v>
      </c>
      <c r="F32" s="133"/>
      <c r="G32" s="65">
        <v>16604.786</v>
      </c>
      <c r="H32" s="133"/>
      <c r="I32" s="65">
        <v>17058.599999999999</v>
      </c>
      <c r="J32" s="133"/>
      <c r="K32" s="65">
        <v>17062.52588235294</v>
      </c>
      <c r="L32" s="133"/>
      <c r="M32" s="65">
        <v>16955.676750999999</v>
      </c>
      <c r="N32" s="133"/>
      <c r="O32" s="65">
        <v>16521.600000000002</v>
      </c>
      <c r="P32" s="133"/>
      <c r="Q32" s="65">
        <v>17716.557536</v>
      </c>
      <c r="R32" s="133"/>
      <c r="S32" s="65">
        <v>19021.203398000001</v>
      </c>
      <c r="T32" s="133"/>
      <c r="U32" s="65">
        <v>20186.878999999997</v>
      </c>
      <c r="V32" s="133"/>
      <c r="W32" s="65">
        <v>20787.779000000006</v>
      </c>
      <c r="X32" s="133"/>
      <c r="Y32" s="133">
        <v>20829.411364827698</v>
      </c>
      <c r="Z32" s="67"/>
      <c r="AA32" s="133">
        <v>22568.798575208893</v>
      </c>
      <c r="AB32" s="23"/>
      <c r="AC32" s="133">
        <v>23868.702628365972</v>
      </c>
      <c r="AD32" s="23"/>
      <c r="AE32" s="133">
        <v>25856.922565213696</v>
      </c>
      <c r="AF32" s="23"/>
      <c r="AG32" s="133">
        <v>26124.283553455767</v>
      </c>
      <c r="AH32" s="23"/>
      <c r="AI32" s="133">
        <v>26653.067965627361</v>
      </c>
      <c r="AJ32" s="23"/>
      <c r="AK32" s="133">
        <v>27635.271956591441</v>
      </c>
      <c r="AL32" s="67"/>
      <c r="AM32" s="133">
        <v>28656.897022858528</v>
      </c>
      <c r="AN32" s="67"/>
      <c r="AO32" s="133">
        <v>29559.994541104021</v>
      </c>
      <c r="AP32" s="67"/>
      <c r="AQ32" s="65">
        <v>30422.314185303498</v>
      </c>
      <c r="AR32" s="16"/>
      <c r="AS32" s="65">
        <v>26443.565023078103</v>
      </c>
      <c r="AT32" s="17"/>
      <c r="AU32" s="65">
        <v>28939.131211892389</v>
      </c>
      <c r="AV32" s="17"/>
      <c r="AW32" s="17"/>
      <c r="AX32" s="18" t="s">
        <v>84</v>
      </c>
      <c r="BE32" s="82"/>
      <c r="BF32" s="82"/>
    </row>
    <row r="33" spans="2:58" ht="6" customHeight="1">
      <c r="B33" s="34"/>
      <c r="C33" s="34"/>
      <c r="D33" s="56"/>
      <c r="E33" s="83"/>
      <c r="F33" s="141"/>
      <c r="G33" s="83"/>
      <c r="H33" s="141"/>
      <c r="I33" s="83"/>
      <c r="J33" s="141"/>
      <c r="K33" s="83"/>
      <c r="L33" s="141"/>
      <c r="M33" s="83"/>
      <c r="N33" s="141"/>
      <c r="O33" s="83"/>
      <c r="P33" s="141"/>
      <c r="Q33" s="83"/>
      <c r="R33" s="141"/>
      <c r="S33" s="83"/>
      <c r="T33" s="141"/>
      <c r="U33" s="83"/>
      <c r="V33" s="141"/>
      <c r="W33" s="83"/>
      <c r="X33" s="141"/>
      <c r="Y33" s="83"/>
      <c r="Z33" s="85"/>
      <c r="AA33" s="83"/>
      <c r="AB33" s="70"/>
      <c r="AC33" s="83"/>
      <c r="AD33" s="70"/>
      <c r="AE33" s="83"/>
      <c r="AF33" s="70"/>
      <c r="AG33" s="83"/>
      <c r="AH33" s="70"/>
      <c r="AI33" s="83"/>
      <c r="AJ33" s="72"/>
      <c r="AK33" s="83"/>
      <c r="AL33" s="72"/>
      <c r="AM33" s="83"/>
      <c r="AN33" s="72"/>
      <c r="AO33" s="83"/>
      <c r="AP33" s="72"/>
      <c r="AQ33" s="83"/>
      <c r="AR33" s="70"/>
      <c r="AS33" s="41"/>
      <c r="AT33" s="41"/>
      <c r="AU33" s="41"/>
      <c r="AV33" s="41"/>
      <c r="AW33" s="41"/>
      <c r="AX33" s="56"/>
    </row>
    <row r="34" spans="2:58" ht="6" customHeight="1">
      <c r="B34" s="42"/>
      <c r="C34" s="42"/>
      <c r="D34" s="16"/>
      <c r="E34" s="28"/>
      <c r="F34" s="75"/>
      <c r="G34" s="28"/>
      <c r="H34" s="75"/>
      <c r="I34" s="28"/>
      <c r="J34" s="75"/>
      <c r="K34" s="28"/>
      <c r="L34" s="75"/>
      <c r="M34" s="28"/>
      <c r="N34" s="75"/>
      <c r="O34" s="28"/>
      <c r="P34" s="75"/>
      <c r="Q34" s="28"/>
      <c r="R34" s="75"/>
      <c r="S34" s="28"/>
      <c r="T34" s="75"/>
      <c r="U34" s="28"/>
      <c r="V34" s="75"/>
      <c r="W34" s="28"/>
      <c r="X34" s="75"/>
      <c r="Y34" s="28"/>
      <c r="Z34" s="23"/>
      <c r="AA34" s="28"/>
      <c r="AB34" s="16"/>
      <c r="AC34" s="28"/>
      <c r="AD34" s="16"/>
      <c r="AE34" s="28"/>
      <c r="AF34" s="16"/>
      <c r="AG34" s="28"/>
      <c r="AH34" s="16"/>
      <c r="AI34" s="28"/>
      <c r="AJ34" s="27"/>
      <c r="AK34" s="28"/>
      <c r="AL34" s="27"/>
      <c r="AM34" s="28"/>
      <c r="AN34" s="27"/>
      <c r="AO34" s="28"/>
      <c r="AP34" s="27"/>
      <c r="AQ34" s="28"/>
      <c r="AR34" s="16"/>
      <c r="AS34" s="17"/>
      <c r="AT34" s="17"/>
      <c r="AU34" s="17"/>
      <c r="AV34" s="17"/>
      <c r="AW34" s="17"/>
      <c r="AX34" s="16"/>
    </row>
    <row r="35" spans="2:58" ht="10.5" customHeight="1">
      <c r="B35" s="16"/>
      <c r="C35" s="42"/>
      <c r="D35" s="63" t="s">
        <v>188</v>
      </c>
      <c r="E35" s="28"/>
      <c r="F35" s="75"/>
      <c r="G35" s="28"/>
      <c r="H35" s="75"/>
      <c r="I35" s="28"/>
      <c r="J35" s="75"/>
      <c r="K35" s="28"/>
      <c r="L35" s="75"/>
      <c r="M35" s="28"/>
      <c r="N35" s="75"/>
      <c r="O35" s="28"/>
      <c r="P35" s="75"/>
      <c r="Q35" s="28"/>
      <c r="R35" s="75"/>
      <c r="S35" s="28"/>
      <c r="T35" s="75"/>
      <c r="U35" s="28"/>
      <c r="V35" s="75"/>
      <c r="W35" s="28"/>
      <c r="X35" s="75"/>
      <c r="Y35" s="28"/>
      <c r="Z35" s="23"/>
      <c r="AA35" s="28"/>
      <c r="AB35" s="16"/>
      <c r="AC35" s="28"/>
      <c r="AD35" s="16"/>
      <c r="AE35" s="28"/>
      <c r="AF35" s="16"/>
      <c r="AG35" s="28"/>
      <c r="AH35" s="16"/>
      <c r="AI35" s="28"/>
      <c r="AJ35" s="27"/>
      <c r="AK35" s="28"/>
      <c r="AL35" s="27"/>
      <c r="AM35" s="28"/>
      <c r="AN35" s="27"/>
      <c r="AO35" s="28"/>
      <c r="AP35" s="27"/>
      <c r="AQ35" s="28"/>
      <c r="AR35" s="16"/>
      <c r="AS35" s="17"/>
      <c r="AT35" s="17"/>
      <c r="AU35" s="17"/>
      <c r="AV35" s="17"/>
      <c r="AW35" s="17"/>
      <c r="AX35" s="63" t="s">
        <v>199</v>
      </c>
      <c r="BE35" s="82"/>
      <c r="BF35" s="82"/>
    </row>
    <row r="36" spans="2:58" ht="10.5" customHeight="1">
      <c r="B36" s="42">
        <v>13</v>
      </c>
      <c r="C36" s="42"/>
      <c r="D36" s="16" t="s">
        <v>393</v>
      </c>
      <c r="E36" s="28">
        <v>37353.093999999997</v>
      </c>
      <c r="F36" s="75"/>
      <c r="G36" s="28">
        <v>37197.787999999993</v>
      </c>
      <c r="H36" s="75"/>
      <c r="I36" s="28">
        <v>37459.21</v>
      </c>
      <c r="J36" s="75"/>
      <c r="K36" s="28">
        <v>38008.650278000001</v>
      </c>
      <c r="L36" s="75"/>
      <c r="M36" s="28">
        <v>39726.457389999996</v>
      </c>
      <c r="N36" s="75"/>
      <c r="O36" s="28">
        <v>40874.528548581875</v>
      </c>
      <c r="P36" s="75"/>
      <c r="Q36" s="28">
        <v>42696.884474226805</v>
      </c>
      <c r="R36" s="75"/>
      <c r="S36" s="28">
        <v>44013.365311000001</v>
      </c>
      <c r="T36" s="75"/>
      <c r="U36" s="28">
        <v>43686.57332464413</v>
      </c>
      <c r="V36" s="75"/>
      <c r="W36" s="28">
        <v>37065.697987446998</v>
      </c>
      <c r="X36" s="75"/>
      <c r="Y36" s="28">
        <v>42887.099985999994</v>
      </c>
      <c r="Z36" s="23"/>
      <c r="AA36" s="28">
        <v>42301.069536045332</v>
      </c>
      <c r="AB36" s="67"/>
      <c r="AC36" s="28">
        <v>39359.107830679328</v>
      </c>
      <c r="AD36" s="67"/>
      <c r="AE36" s="28">
        <v>37720.14534321391</v>
      </c>
      <c r="AF36" s="67"/>
      <c r="AG36" s="28">
        <v>38428.499268540319</v>
      </c>
      <c r="AH36" s="16"/>
      <c r="AI36" s="28">
        <v>37359.772230389382</v>
      </c>
      <c r="AJ36" s="23"/>
      <c r="AK36" s="28">
        <v>38726.156984637702</v>
      </c>
      <c r="AL36" s="23"/>
      <c r="AM36" s="28">
        <v>39564.870170859002</v>
      </c>
      <c r="AN36" s="23"/>
      <c r="AO36" s="28">
        <v>40364.127210262239</v>
      </c>
      <c r="AP36" s="23"/>
      <c r="AQ36" s="28">
        <v>39695.658819481556</v>
      </c>
      <c r="AR36" s="16"/>
      <c r="AS36" s="28">
        <v>41002.452247882677</v>
      </c>
      <c r="AT36" s="17"/>
      <c r="AU36" s="28">
        <v>43244.2934905</v>
      </c>
      <c r="AV36" s="17"/>
      <c r="AW36" s="17"/>
      <c r="AX36" s="16" t="s">
        <v>394</v>
      </c>
      <c r="AY36" s="314"/>
      <c r="AZ36" s="318"/>
      <c r="BE36" s="82"/>
      <c r="BF36" s="82"/>
    </row>
    <row r="37" spans="2:58" ht="10.5" customHeight="1">
      <c r="B37" s="42">
        <v>14</v>
      </c>
      <c r="C37" s="42"/>
      <c r="D37" s="16" t="s">
        <v>395</v>
      </c>
      <c r="E37" s="28">
        <v>1762.6815426356591</v>
      </c>
      <c r="F37" s="75"/>
      <c r="G37" s="28">
        <v>1752.771</v>
      </c>
      <c r="H37" s="75"/>
      <c r="I37" s="28">
        <v>1586.0349999999992</v>
      </c>
      <c r="J37" s="75"/>
      <c r="K37" s="28">
        <v>1898.9324913333335</v>
      </c>
      <c r="L37" s="75"/>
      <c r="M37" s="28">
        <v>2087.588937</v>
      </c>
      <c r="N37" s="75"/>
      <c r="O37" s="28">
        <v>2295.4825739999997</v>
      </c>
      <c r="P37" s="75"/>
      <c r="Q37" s="28">
        <v>2339.1155257731962</v>
      </c>
      <c r="R37" s="75"/>
      <c r="S37" s="28">
        <v>2105.4899999999998</v>
      </c>
      <c r="T37" s="75"/>
      <c r="U37" s="28">
        <v>2153.1597409605201</v>
      </c>
      <c r="V37" s="75"/>
      <c r="W37" s="28">
        <v>1743.3879632000007</v>
      </c>
      <c r="X37" s="75"/>
      <c r="Y37" s="28">
        <v>1882.4086799999998</v>
      </c>
      <c r="Z37" s="23"/>
      <c r="AA37" s="28">
        <v>2171.1089639546726</v>
      </c>
      <c r="AB37" s="67"/>
      <c r="AC37" s="28">
        <v>1683.0034903788076</v>
      </c>
      <c r="AD37" s="67"/>
      <c r="AE37" s="28">
        <v>2037.8367203640939</v>
      </c>
      <c r="AF37" s="67"/>
      <c r="AG37" s="28">
        <v>1294.0782541434639</v>
      </c>
      <c r="AH37" s="16"/>
      <c r="AI37" s="28">
        <v>1197.9753464683447</v>
      </c>
      <c r="AJ37" s="23"/>
      <c r="AK37" s="28">
        <v>1178.4160171822</v>
      </c>
      <c r="AL37" s="23"/>
      <c r="AM37" s="28">
        <v>1134.7996820246744</v>
      </c>
      <c r="AN37" s="23"/>
      <c r="AO37" s="28">
        <v>1176.7283043891268</v>
      </c>
      <c r="AP37" s="23"/>
      <c r="AQ37" s="28">
        <v>1111.7500684957911</v>
      </c>
      <c r="AR37" s="16"/>
      <c r="AS37" s="28">
        <v>1578.7182839321488</v>
      </c>
      <c r="AT37" s="17"/>
      <c r="AU37" s="28">
        <v>1089.5733063350001</v>
      </c>
      <c r="AV37" s="17"/>
      <c r="AW37" s="17"/>
      <c r="AX37" s="16" t="s">
        <v>396</v>
      </c>
      <c r="AZ37" s="318"/>
      <c r="BE37" s="82"/>
      <c r="BF37" s="82"/>
    </row>
    <row r="38" spans="2:58" ht="10.5" customHeight="1">
      <c r="B38" s="42">
        <v>15</v>
      </c>
      <c r="C38" s="42"/>
      <c r="D38" s="18" t="s">
        <v>231</v>
      </c>
      <c r="E38" s="65">
        <v>39115.77554263566</v>
      </c>
      <c r="F38" s="133"/>
      <c r="G38" s="65">
        <v>38950.558999999994</v>
      </c>
      <c r="H38" s="133"/>
      <c r="I38" s="65">
        <v>39045.244999999995</v>
      </c>
      <c r="J38" s="133"/>
      <c r="K38" s="65">
        <v>39907.582769333334</v>
      </c>
      <c r="L38" s="133"/>
      <c r="M38" s="65">
        <v>41814.046326999996</v>
      </c>
      <c r="N38" s="133"/>
      <c r="O38" s="65">
        <v>43170.011122581876</v>
      </c>
      <c r="P38" s="133"/>
      <c r="Q38" s="65">
        <v>45036</v>
      </c>
      <c r="R38" s="133"/>
      <c r="S38" s="65">
        <v>46118.855310999999</v>
      </c>
      <c r="T38" s="133"/>
      <c r="U38" s="65">
        <v>45839.733065604654</v>
      </c>
      <c r="V38" s="133"/>
      <c r="W38" s="65">
        <v>38809.085950647001</v>
      </c>
      <c r="X38" s="133"/>
      <c r="Y38" s="65">
        <v>44769.471665999998</v>
      </c>
      <c r="Z38" s="67"/>
      <c r="AA38" s="133">
        <v>44472.178500000002</v>
      </c>
      <c r="AB38" s="67"/>
      <c r="AC38" s="133">
        <v>41042.111321058139</v>
      </c>
      <c r="AD38" s="67"/>
      <c r="AE38" s="133">
        <v>39757.982063578005</v>
      </c>
      <c r="AF38" s="67"/>
      <c r="AG38" s="133">
        <v>39722.577522683787</v>
      </c>
      <c r="AH38" s="16"/>
      <c r="AI38" s="133">
        <v>38557.747576857728</v>
      </c>
      <c r="AJ38" s="67"/>
      <c r="AK38" s="133">
        <v>39904.573001819903</v>
      </c>
      <c r="AL38" s="67"/>
      <c r="AM38" s="133">
        <v>40699.66985288365</v>
      </c>
      <c r="AN38" s="23"/>
      <c r="AO38" s="133">
        <v>41540.855514651361</v>
      </c>
      <c r="AP38" s="23"/>
      <c r="AQ38" s="65">
        <v>40807.408887977348</v>
      </c>
      <c r="AR38" s="16"/>
      <c r="AS38" s="65">
        <v>42581.170531814823</v>
      </c>
      <c r="AT38" s="17"/>
      <c r="AU38" s="65">
        <v>44333.866796834998</v>
      </c>
      <c r="AV38" s="17"/>
      <c r="AW38" s="17"/>
      <c r="AX38" s="18" t="s">
        <v>84</v>
      </c>
    </row>
    <row r="39" spans="2:58" ht="6" customHeight="1">
      <c r="B39" s="34"/>
      <c r="C39" s="34"/>
      <c r="D39" s="56"/>
      <c r="E39" s="83"/>
      <c r="F39" s="141"/>
      <c r="G39" s="83"/>
      <c r="H39" s="141"/>
      <c r="I39" s="83"/>
      <c r="J39" s="141"/>
      <c r="K39" s="83"/>
      <c r="L39" s="141"/>
      <c r="M39" s="83"/>
      <c r="N39" s="141"/>
      <c r="O39" s="83"/>
      <c r="P39" s="141"/>
      <c r="Q39" s="83"/>
      <c r="R39" s="141"/>
      <c r="S39" s="83"/>
      <c r="T39" s="141"/>
      <c r="U39" s="83"/>
      <c r="V39" s="141"/>
      <c r="W39" s="83"/>
      <c r="X39" s="141"/>
      <c r="Y39" s="83"/>
      <c r="Z39" s="85"/>
      <c r="AA39" s="83"/>
      <c r="AB39" s="70"/>
      <c r="AC39" s="83"/>
      <c r="AD39" s="70"/>
      <c r="AE39" s="83"/>
      <c r="AF39" s="70"/>
      <c r="AG39" s="83"/>
      <c r="AH39" s="70"/>
      <c r="AI39" s="83"/>
      <c r="AJ39" s="72"/>
      <c r="AK39" s="83"/>
      <c r="AL39" s="72"/>
      <c r="AM39" s="83"/>
      <c r="AN39" s="72"/>
      <c r="AO39" s="83"/>
      <c r="AP39" s="72"/>
      <c r="AQ39" s="83"/>
      <c r="AR39" s="70"/>
      <c r="AS39" s="41"/>
      <c r="AT39" s="41"/>
      <c r="AU39" s="41"/>
      <c r="AV39" s="41"/>
      <c r="AW39" s="41"/>
      <c r="AX39" s="56"/>
    </row>
    <row r="40" spans="2:58" ht="6" customHeight="1">
      <c r="B40" s="42"/>
      <c r="C40" s="42"/>
      <c r="D40" s="16"/>
      <c r="E40" s="28"/>
      <c r="F40" s="75"/>
      <c r="G40" s="28"/>
      <c r="H40" s="75"/>
      <c r="I40" s="28"/>
      <c r="J40" s="75"/>
      <c r="K40" s="28"/>
      <c r="L40" s="75"/>
      <c r="M40" s="28"/>
      <c r="N40" s="75"/>
      <c r="O40" s="28"/>
      <c r="P40" s="75"/>
      <c r="Q40" s="28"/>
      <c r="R40" s="75"/>
      <c r="S40" s="28"/>
      <c r="T40" s="75"/>
      <c r="U40" s="28"/>
      <c r="V40" s="75"/>
      <c r="W40" s="28"/>
      <c r="X40" s="75"/>
      <c r="Y40" s="28"/>
      <c r="Z40" s="23"/>
      <c r="AA40" s="28"/>
      <c r="AB40" s="16"/>
      <c r="AC40" s="28"/>
      <c r="AD40" s="16"/>
      <c r="AE40" s="28"/>
      <c r="AF40" s="16"/>
      <c r="AG40" s="28"/>
      <c r="AH40" s="16"/>
      <c r="AI40" s="28"/>
      <c r="AJ40" s="27"/>
      <c r="AK40" s="28"/>
      <c r="AL40" s="27"/>
      <c r="AM40" s="28"/>
      <c r="AN40" s="27"/>
      <c r="AO40" s="28"/>
      <c r="AP40" s="27"/>
      <c r="AQ40" s="28"/>
      <c r="AR40" s="16"/>
      <c r="AS40" s="17"/>
      <c r="AT40" s="17"/>
      <c r="AU40" s="17"/>
      <c r="AV40" s="17"/>
      <c r="AW40" s="17"/>
      <c r="AX40" s="16"/>
    </row>
    <row r="41" spans="2:58" ht="10.5" customHeight="1">
      <c r="B41" s="42">
        <v>16</v>
      </c>
      <c r="C41" s="42"/>
      <c r="D41" s="16" t="s">
        <v>397</v>
      </c>
      <c r="E41" s="28">
        <v>52437.293999999994</v>
      </c>
      <c r="F41" s="75"/>
      <c r="G41" s="28">
        <v>53056.073999999993</v>
      </c>
      <c r="H41" s="75"/>
      <c r="I41" s="28">
        <v>53838.31</v>
      </c>
      <c r="J41" s="75"/>
      <c r="K41" s="28">
        <v>54376.376160352942</v>
      </c>
      <c r="L41" s="75"/>
      <c r="M41" s="28">
        <v>56072.680841999994</v>
      </c>
      <c r="N41" s="75"/>
      <c r="O41" s="28">
        <v>56883.528548581875</v>
      </c>
      <c r="P41" s="75"/>
      <c r="Q41" s="28">
        <v>59937.258312226804</v>
      </c>
      <c r="R41" s="75"/>
      <c r="S41" s="28">
        <v>62562.659039000006</v>
      </c>
      <c r="T41" s="75"/>
      <c r="U41" s="28">
        <v>63362.05232464413</v>
      </c>
      <c r="V41" s="75"/>
      <c r="W41" s="28">
        <v>57364.666987447003</v>
      </c>
      <c r="X41" s="75"/>
      <c r="Y41" s="28">
        <v>63225.662313767192</v>
      </c>
      <c r="Z41" s="23"/>
      <c r="AA41" s="28">
        <v>64335.454141504466</v>
      </c>
      <c r="AB41" s="67"/>
      <c r="AC41" s="28">
        <v>62698.66705549763</v>
      </c>
      <c r="AD41" s="67"/>
      <c r="AE41" s="28">
        <v>63086.620876761823</v>
      </c>
      <c r="AF41" s="67"/>
      <c r="AG41" s="75">
        <v>64069.074074312841</v>
      </c>
      <c r="AH41" s="23"/>
      <c r="AI41" s="75">
        <v>63537.947000565604</v>
      </c>
      <c r="AJ41" s="23"/>
      <c r="AK41" s="75">
        <v>65903.530600229147</v>
      </c>
      <c r="AL41" s="23"/>
      <c r="AM41" s="75">
        <v>67801.067193717521</v>
      </c>
      <c r="AN41" s="23"/>
      <c r="AO41" s="75">
        <v>69473.621751366256</v>
      </c>
      <c r="AP41" s="23"/>
      <c r="AQ41" s="28">
        <v>69642.587004785048</v>
      </c>
      <c r="AR41" s="16"/>
      <c r="AS41" s="28">
        <v>66982.817270960775</v>
      </c>
      <c r="AT41" s="17"/>
      <c r="AU41" s="28">
        <v>71744.459313570827</v>
      </c>
      <c r="AV41" s="17"/>
      <c r="AW41" s="17"/>
      <c r="AX41" s="16" t="s">
        <v>398</v>
      </c>
      <c r="AY41" s="314"/>
      <c r="AZ41" s="318"/>
    </row>
    <row r="42" spans="2:58" ht="10.5" customHeight="1">
      <c r="B42" s="42">
        <v>17</v>
      </c>
      <c r="C42" s="42"/>
      <c r="D42" s="16" t="s">
        <v>399</v>
      </c>
      <c r="E42" s="28">
        <v>2502.8815426356591</v>
      </c>
      <c r="F42" s="75"/>
      <c r="G42" s="28">
        <v>2499.2709999999997</v>
      </c>
      <c r="H42" s="75"/>
      <c r="I42" s="28">
        <v>2265.5349999999989</v>
      </c>
      <c r="J42" s="75"/>
      <c r="K42" s="28">
        <v>2593.7324913333332</v>
      </c>
      <c r="L42" s="75"/>
      <c r="M42" s="28">
        <v>2697.0422360000002</v>
      </c>
      <c r="N42" s="75"/>
      <c r="O42" s="28">
        <v>2808.0825739999996</v>
      </c>
      <c r="P42" s="75"/>
      <c r="Q42" s="28">
        <v>2815.299223773196</v>
      </c>
      <c r="R42" s="75"/>
      <c r="S42" s="28">
        <v>2577.3996699999998</v>
      </c>
      <c r="T42" s="75"/>
      <c r="U42" s="28">
        <v>2664.5597409605202</v>
      </c>
      <c r="V42" s="75"/>
      <c r="W42" s="28">
        <v>2232.1979632000007</v>
      </c>
      <c r="X42" s="75"/>
      <c r="Y42" s="28">
        <v>2373.2577170605</v>
      </c>
      <c r="Z42" s="23"/>
      <c r="AA42" s="28">
        <v>2705.5229337044348</v>
      </c>
      <c r="AB42" s="67"/>
      <c r="AC42" s="28">
        <v>2212.1468939264796</v>
      </c>
      <c r="AD42" s="67"/>
      <c r="AE42" s="28">
        <v>2528.2837520298781</v>
      </c>
      <c r="AF42" s="67"/>
      <c r="AG42" s="75">
        <v>1777.7870018267076</v>
      </c>
      <c r="AH42" s="23"/>
      <c r="AI42" s="75">
        <v>1672.8685419194867</v>
      </c>
      <c r="AJ42" s="23"/>
      <c r="AK42" s="75">
        <v>1636.3143581822001</v>
      </c>
      <c r="AL42" s="23"/>
      <c r="AM42" s="75">
        <v>1555.4996820246745</v>
      </c>
      <c r="AN42" s="23"/>
      <c r="AO42" s="75">
        <v>1627.2283043891268</v>
      </c>
      <c r="AP42" s="23"/>
      <c r="AQ42" s="28">
        <v>1587.1360684957911</v>
      </c>
      <c r="AR42" s="16"/>
      <c r="AS42" s="28">
        <v>2041.9182839321488</v>
      </c>
      <c r="AT42" s="17"/>
      <c r="AU42" s="28">
        <v>1528.5386951565649</v>
      </c>
      <c r="AV42" s="17"/>
      <c r="AW42" s="17"/>
      <c r="AX42" s="16" t="s">
        <v>400</v>
      </c>
      <c r="AY42" s="314"/>
      <c r="AZ42" s="318"/>
    </row>
    <row r="43" spans="2:58" ht="10.5" customHeight="1">
      <c r="B43" s="42">
        <v>18</v>
      </c>
      <c r="C43" s="42"/>
      <c r="D43" s="18" t="s">
        <v>68</v>
      </c>
      <c r="E43" s="65">
        <v>54940.175542635654</v>
      </c>
      <c r="F43" s="133"/>
      <c r="G43" s="65">
        <v>55555.344999999994</v>
      </c>
      <c r="H43" s="133"/>
      <c r="I43" s="65">
        <v>56103.844999999994</v>
      </c>
      <c r="J43" s="133"/>
      <c r="K43" s="65">
        <v>56970.108651686278</v>
      </c>
      <c r="L43" s="133"/>
      <c r="M43" s="65">
        <v>58769.723077999995</v>
      </c>
      <c r="N43" s="133"/>
      <c r="O43" s="65">
        <v>59691.611122581875</v>
      </c>
      <c r="P43" s="133"/>
      <c r="Q43" s="65">
        <v>62752.557536</v>
      </c>
      <c r="R43" s="133"/>
      <c r="S43" s="65">
        <v>65140.058709000004</v>
      </c>
      <c r="T43" s="133"/>
      <c r="U43" s="65">
        <v>66026.612065604655</v>
      </c>
      <c r="V43" s="133"/>
      <c r="W43" s="65">
        <v>59596.864950647003</v>
      </c>
      <c r="X43" s="133"/>
      <c r="Y43" s="65">
        <v>65598.920030827692</v>
      </c>
      <c r="Z43" s="67"/>
      <c r="AA43" s="65">
        <v>67040.977075208895</v>
      </c>
      <c r="AB43" s="67"/>
      <c r="AC43" s="65">
        <v>64910.813949424111</v>
      </c>
      <c r="AD43" s="67"/>
      <c r="AE43" s="65">
        <v>65614.904628791701</v>
      </c>
      <c r="AF43" s="67"/>
      <c r="AG43" s="65">
        <v>65846.861076139554</v>
      </c>
      <c r="AH43" s="67"/>
      <c r="AI43" s="65">
        <v>65210.815542485085</v>
      </c>
      <c r="AJ43" s="67"/>
      <c r="AK43" s="65">
        <v>67539.84495841134</v>
      </c>
      <c r="AL43" s="67"/>
      <c r="AM43" s="133">
        <v>69356.566875742181</v>
      </c>
      <c r="AN43" s="67"/>
      <c r="AO43" s="133">
        <v>71100.850055755378</v>
      </c>
      <c r="AP43" s="67"/>
      <c r="AQ43" s="65">
        <v>71229.723073280838</v>
      </c>
      <c r="AR43" s="16"/>
      <c r="AS43" s="65">
        <v>69024.735554892919</v>
      </c>
      <c r="AT43" s="17"/>
      <c r="AU43" s="65">
        <v>73272.998008727387</v>
      </c>
      <c r="AV43" s="17"/>
      <c r="AW43" s="17"/>
      <c r="AX43" s="18" t="s">
        <v>274</v>
      </c>
    </row>
    <row r="44" spans="2:58" ht="6" customHeight="1">
      <c r="B44" s="34"/>
      <c r="C44" s="34"/>
      <c r="D44" s="35"/>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35"/>
    </row>
    <row r="45" spans="2:58" ht="6" customHeight="1">
      <c r="B45" s="42"/>
      <c r="C45" s="42"/>
      <c r="D45" s="24"/>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24"/>
    </row>
    <row r="46" spans="2:58" ht="12.75" customHeight="1">
      <c r="B46" s="2"/>
      <c r="C46" s="2"/>
      <c r="D46" s="2"/>
      <c r="E46" s="2"/>
      <c r="F46" s="2"/>
      <c r="G46" s="2"/>
      <c r="H46" s="2"/>
      <c r="I46" s="2"/>
      <c r="J46" s="2"/>
      <c r="K46" s="2"/>
      <c r="L46" s="2"/>
      <c r="M46" s="2"/>
      <c r="N46" s="2"/>
      <c r="O46" s="2"/>
      <c r="P46" s="2"/>
      <c r="Q46" s="2"/>
      <c r="R46" s="2"/>
      <c r="S46" s="2"/>
      <c r="T46" s="2"/>
      <c r="U46" s="2"/>
      <c r="V46" s="2"/>
      <c r="W46" s="2"/>
      <c r="X46" s="2"/>
      <c r="Y46" s="3"/>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2:58" ht="14.25" customHeight="1">
      <c r="B47" s="523" t="s">
        <v>403</v>
      </c>
      <c r="C47" s="523"/>
      <c r="D47" s="523"/>
      <c r="E47" s="497"/>
      <c r="F47" s="502"/>
      <c r="G47" s="497"/>
      <c r="H47" s="502"/>
      <c r="I47" s="497"/>
      <c r="J47" s="502"/>
      <c r="K47" s="497"/>
      <c r="L47" s="502"/>
      <c r="M47" s="497"/>
      <c r="N47" s="502"/>
      <c r="O47" s="497"/>
      <c r="P47" s="502"/>
      <c r="Q47" s="497"/>
      <c r="R47" s="502"/>
      <c r="S47" s="497"/>
      <c r="T47" s="477"/>
      <c r="U47" s="497"/>
      <c r="V47" s="477"/>
      <c r="W47" s="497"/>
      <c r="X47" s="477"/>
      <c r="Y47" s="497"/>
      <c r="Z47" s="477"/>
      <c r="AA47" s="497"/>
      <c r="AB47" s="477"/>
      <c r="AC47" s="42"/>
      <c r="AD47" s="286"/>
      <c r="AE47" s="42"/>
      <c r="AF47" s="286"/>
      <c r="AG47" s="42"/>
      <c r="AH47" s="286"/>
      <c r="AI47" s="42"/>
      <c r="AJ47" s="286"/>
      <c r="AK47" s="42"/>
      <c r="AL47" s="286"/>
      <c r="AM47" s="497"/>
      <c r="AN47" s="497"/>
      <c r="AO47" s="497"/>
      <c r="AP47" s="497"/>
      <c r="AQ47" s="497"/>
      <c r="AR47" s="497"/>
      <c r="AX47" s="63" t="s">
        <v>404</v>
      </c>
      <c r="AY47" s="399"/>
    </row>
    <row r="48" spans="2:58" ht="6" customHeight="1">
      <c r="B48" s="79"/>
      <c r="C48" s="79"/>
      <c r="D48" s="79"/>
      <c r="E48" s="80"/>
      <c r="F48" s="81"/>
      <c r="G48" s="80"/>
      <c r="H48" s="81"/>
      <c r="I48" s="80"/>
      <c r="J48" s="81"/>
      <c r="K48" s="80"/>
      <c r="L48" s="81"/>
      <c r="M48" s="80"/>
      <c r="N48" s="81"/>
      <c r="O48" s="80"/>
      <c r="P48" s="81"/>
      <c r="Q48" s="80"/>
      <c r="R48" s="81"/>
      <c r="S48" s="80"/>
      <c r="T48" s="7"/>
      <c r="U48" s="80"/>
      <c r="V48" s="7"/>
      <c r="W48" s="80"/>
      <c r="X48" s="7"/>
      <c r="Y48" s="80"/>
      <c r="Z48" s="7"/>
      <c r="AA48" s="80"/>
      <c r="AB48" s="7"/>
      <c r="AC48" s="80"/>
      <c r="AD48" s="7"/>
      <c r="AE48" s="80"/>
      <c r="AF48" s="7"/>
      <c r="AG48" s="80"/>
      <c r="AH48" s="7"/>
      <c r="AI48" s="80"/>
      <c r="AJ48" s="7"/>
      <c r="AK48" s="80"/>
      <c r="AL48" s="7"/>
      <c r="AM48" s="80"/>
      <c r="AN48" s="7"/>
      <c r="AO48" s="80"/>
      <c r="AP48" s="7"/>
      <c r="AQ48" s="80"/>
      <c r="AR48" s="7"/>
      <c r="AS48" s="79"/>
      <c r="AT48" s="79"/>
      <c r="AU48" s="79"/>
      <c r="AV48" s="79"/>
      <c r="AW48" s="79"/>
      <c r="AX48" s="79"/>
    </row>
    <row r="49" spans="2:52" ht="6" customHeight="1">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row>
    <row r="50" spans="2:52" ht="10.5" customHeight="1">
      <c r="B50" s="42">
        <v>19</v>
      </c>
      <c r="C50" s="42"/>
      <c r="D50" s="16" t="s">
        <v>393</v>
      </c>
      <c r="E50" s="28">
        <v>19497.094099999998</v>
      </c>
      <c r="F50" s="17"/>
      <c r="G50" s="28">
        <v>20713.094099999998</v>
      </c>
      <c r="H50" s="17"/>
      <c r="I50" s="28">
        <v>21818.3</v>
      </c>
      <c r="J50" s="17"/>
      <c r="K50" s="28">
        <v>22215.154901960785</v>
      </c>
      <c r="L50" s="17"/>
      <c r="M50" s="28">
        <v>22115.358426000003</v>
      </c>
      <c r="N50" s="17"/>
      <c r="O50" s="28">
        <v>21751.1</v>
      </c>
      <c r="P50" s="17"/>
      <c r="Q50" s="28">
        <v>22976.432077008998</v>
      </c>
      <c r="R50" s="17"/>
      <c r="S50" s="28">
        <v>24302.998186000001</v>
      </c>
      <c r="T50" s="17"/>
      <c r="U50" s="28">
        <v>25882.105</v>
      </c>
      <c r="V50" s="17"/>
      <c r="W50" s="28">
        <v>26645.292000000001</v>
      </c>
      <c r="X50" s="17"/>
      <c r="Y50" s="28">
        <v>27037.0192976625</v>
      </c>
      <c r="Z50" s="23"/>
      <c r="AA50" s="28">
        <v>29214.579505369009</v>
      </c>
      <c r="AB50" s="23"/>
      <c r="AC50" s="28">
        <v>30104.194749860646</v>
      </c>
      <c r="AD50" s="23"/>
      <c r="AE50" s="28">
        <v>32882.985329965355</v>
      </c>
      <c r="AF50" s="67"/>
      <c r="AG50" s="75">
        <v>33524.680347612157</v>
      </c>
      <c r="AH50" s="68"/>
      <c r="AI50" s="75">
        <v>34139.393407166463</v>
      </c>
      <c r="AJ50" s="23"/>
      <c r="AK50" s="75">
        <v>35385.5361995231</v>
      </c>
      <c r="AL50" s="23"/>
      <c r="AM50" s="75">
        <v>36089.102720991839</v>
      </c>
      <c r="AN50" s="23"/>
      <c r="AO50" s="75">
        <v>37141.302153235803</v>
      </c>
      <c r="AP50" s="23"/>
      <c r="AQ50" s="28">
        <v>38168.736991031401</v>
      </c>
      <c r="AR50" s="68"/>
      <c r="AS50" s="28">
        <v>35306.511951567918</v>
      </c>
      <c r="AT50" s="17"/>
      <c r="AU50" s="28">
        <v>37283.480140307998</v>
      </c>
      <c r="AV50" s="17"/>
      <c r="AW50" s="17"/>
      <c r="AX50" s="16" t="s">
        <v>394</v>
      </c>
      <c r="AY50" s="28"/>
      <c r="AZ50" s="314"/>
    </row>
    <row r="51" spans="2:52" ht="10.5" customHeight="1">
      <c r="B51" s="42">
        <v>20</v>
      </c>
      <c r="C51" s="42"/>
      <c r="D51" s="16" t="s">
        <v>395</v>
      </c>
      <c r="E51" s="28">
        <v>1043.8</v>
      </c>
      <c r="F51" s="75"/>
      <c r="G51" s="28">
        <v>1046.9000000000001</v>
      </c>
      <c r="H51" s="75"/>
      <c r="I51" s="28">
        <v>960.9</v>
      </c>
      <c r="J51" s="75"/>
      <c r="K51" s="28">
        <v>1009.4000000000001</v>
      </c>
      <c r="L51" s="75"/>
      <c r="M51" s="28">
        <v>883.39062200000012</v>
      </c>
      <c r="N51" s="75"/>
      <c r="O51" s="28">
        <v>697.10000000000014</v>
      </c>
      <c r="P51" s="75"/>
      <c r="Q51" s="28">
        <v>627.98822300000006</v>
      </c>
      <c r="R51" s="75"/>
      <c r="S51" s="28">
        <v>653.94197400000007</v>
      </c>
      <c r="T51" s="75"/>
      <c r="U51" s="28">
        <v>704.7</v>
      </c>
      <c r="V51" s="75"/>
      <c r="W51" s="28">
        <v>685.8</v>
      </c>
      <c r="X51" s="75"/>
      <c r="Y51" s="28">
        <v>721.81438074121002</v>
      </c>
      <c r="Z51" s="23"/>
      <c r="AA51" s="28">
        <v>683.95212224108661</v>
      </c>
      <c r="AB51" s="23"/>
      <c r="AC51" s="28">
        <v>654.01689367700362</v>
      </c>
      <c r="AD51" s="23"/>
      <c r="AE51" s="28">
        <v>591.01488000835559</v>
      </c>
      <c r="AF51" s="67"/>
      <c r="AG51" s="75">
        <v>747.63698488233297</v>
      </c>
      <c r="AH51" s="68"/>
      <c r="AI51" s="75">
        <v>756.87932443546629</v>
      </c>
      <c r="AJ51" s="23"/>
      <c r="AK51" s="75">
        <v>665.17786892775257</v>
      </c>
      <c r="AL51" s="23"/>
      <c r="AM51" s="75">
        <v>591.29067179712195</v>
      </c>
      <c r="AN51" s="23"/>
      <c r="AO51" s="75">
        <v>599.4415510626568</v>
      </c>
      <c r="AP51" s="23"/>
      <c r="AQ51" s="28">
        <v>672.51900000000001</v>
      </c>
      <c r="AR51" s="68"/>
      <c r="AS51" s="28">
        <v>637.4</v>
      </c>
      <c r="AT51" s="17"/>
      <c r="AU51" s="28">
        <v>607.37740962965154</v>
      </c>
      <c r="AV51" s="17"/>
      <c r="AW51" s="17"/>
      <c r="AX51" s="16" t="s">
        <v>396</v>
      </c>
      <c r="AY51" s="28"/>
    </row>
    <row r="52" spans="2:52" ht="10.5" customHeight="1">
      <c r="B52" s="42">
        <v>21</v>
      </c>
      <c r="C52" s="42"/>
      <c r="D52" s="18" t="s">
        <v>68</v>
      </c>
      <c r="E52" s="65">
        <v>20540.894099999998</v>
      </c>
      <c r="F52" s="66"/>
      <c r="G52" s="65">
        <v>21759.9941</v>
      </c>
      <c r="H52" s="66"/>
      <c r="I52" s="65">
        <v>22779.200000000001</v>
      </c>
      <c r="J52" s="66"/>
      <c r="K52" s="65">
        <v>23224.554901960786</v>
      </c>
      <c r="L52" s="66"/>
      <c r="M52" s="65">
        <v>22998.749048000005</v>
      </c>
      <c r="N52" s="66"/>
      <c r="O52" s="65">
        <v>22448.2</v>
      </c>
      <c r="P52" s="66"/>
      <c r="Q52" s="65">
        <v>23604.420300008998</v>
      </c>
      <c r="R52" s="66"/>
      <c r="S52" s="65">
        <v>24956.940159999998</v>
      </c>
      <c r="T52" s="66"/>
      <c r="U52" s="65">
        <v>26586.804999999997</v>
      </c>
      <c r="V52" s="66"/>
      <c r="W52" s="65">
        <v>27331.091999999997</v>
      </c>
      <c r="X52" s="66"/>
      <c r="Y52" s="65">
        <v>27758.833678403713</v>
      </c>
      <c r="Z52" s="67"/>
      <c r="AA52" s="65">
        <v>29898.5316276101</v>
      </c>
      <c r="AB52" s="67"/>
      <c r="AC52" s="65">
        <v>30758.211643537652</v>
      </c>
      <c r="AD52" s="67"/>
      <c r="AE52" s="65">
        <v>33474.00020997371</v>
      </c>
      <c r="AF52" s="67"/>
      <c r="AG52" s="65">
        <v>34272.317332494487</v>
      </c>
      <c r="AH52" s="68"/>
      <c r="AI52" s="133">
        <v>34896.27273160193</v>
      </c>
      <c r="AJ52" s="67"/>
      <c r="AK52" s="133">
        <v>36050.714068450841</v>
      </c>
      <c r="AL52" s="67"/>
      <c r="AM52" s="133">
        <v>36680.393392788967</v>
      </c>
      <c r="AN52" s="67"/>
      <c r="AO52" s="133">
        <v>37740.74370429846</v>
      </c>
      <c r="AP52" s="67"/>
      <c r="AQ52" s="65">
        <v>38841.255991031394</v>
      </c>
      <c r="AR52" s="68"/>
      <c r="AS52" s="65">
        <v>35943.911951567919</v>
      </c>
      <c r="AT52" s="17"/>
      <c r="AU52" s="65">
        <v>37890.85754993766</v>
      </c>
      <c r="AV52" s="17"/>
      <c r="AW52" s="17"/>
      <c r="AX52" s="18" t="s">
        <v>84</v>
      </c>
      <c r="AY52" s="65"/>
    </row>
    <row r="53" spans="2:52" ht="4.5" customHeight="1">
      <c r="B53" s="80"/>
      <c r="C53" s="80"/>
      <c r="D53" s="4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46"/>
    </row>
    <row r="54" spans="2:52" ht="59.25" customHeight="1"/>
    <row r="55" spans="2:52" ht="14.25" customHeight="1">
      <c r="B55" s="10" t="s">
        <v>1094</v>
      </c>
    </row>
    <row r="56" spans="2:52" ht="14.25" customHeight="1">
      <c r="B56" s="156" t="s">
        <v>1095</v>
      </c>
    </row>
    <row r="57" spans="2:52" ht="6" customHeight="1">
      <c r="B57" s="5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row>
    <row r="58" spans="2:52" ht="6.6" customHeight="1"/>
    <row r="59" spans="2:52" ht="14.25" customHeight="1">
      <c r="B59" s="523" t="s">
        <v>405</v>
      </c>
      <c r="C59" s="523"/>
      <c r="D59" s="523"/>
      <c r="E59" s="281">
        <v>2000</v>
      </c>
      <c r="F59" s="404"/>
      <c r="G59" s="281">
        <v>2001</v>
      </c>
      <c r="H59" s="404"/>
      <c r="I59" s="281">
        <v>2002</v>
      </c>
      <c r="J59" s="404"/>
      <c r="K59" s="281">
        <v>2003</v>
      </c>
      <c r="L59" s="404"/>
      <c r="M59" s="281">
        <v>2004</v>
      </c>
      <c r="N59" s="404"/>
      <c r="O59" s="281">
        <v>2005</v>
      </c>
      <c r="P59" s="404"/>
      <c r="Q59" s="281">
        <v>2006</v>
      </c>
      <c r="R59" s="404"/>
      <c r="S59" s="281">
        <v>2007</v>
      </c>
      <c r="T59" s="404"/>
      <c r="U59" s="281">
        <v>2008</v>
      </c>
      <c r="V59" s="404"/>
      <c r="W59" s="281">
        <v>2009</v>
      </c>
      <c r="X59" s="404"/>
      <c r="Y59" s="281">
        <v>2010</v>
      </c>
      <c r="Z59" s="404"/>
      <c r="AA59" s="281">
        <v>2011</v>
      </c>
      <c r="AB59" s="404"/>
      <c r="AC59" s="281">
        <v>2012</v>
      </c>
      <c r="AD59" s="404"/>
      <c r="AE59" s="281">
        <v>2013</v>
      </c>
      <c r="AF59" s="404"/>
      <c r="AG59" s="281">
        <v>2014</v>
      </c>
      <c r="AH59" s="404"/>
      <c r="AI59" s="281">
        <v>2015</v>
      </c>
      <c r="AJ59" s="404"/>
      <c r="AK59" s="281">
        <v>2016</v>
      </c>
      <c r="AL59" s="404"/>
      <c r="AM59" s="281">
        <v>2017</v>
      </c>
      <c r="AN59" s="281"/>
      <c r="AO59" s="281">
        <v>2018</v>
      </c>
      <c r="AP59" s="281"/>
      <c r="AQ59" s="281">
        <v>2019</v>
      </c>
      <c r="AR59" s="281"/>
      <c r="AS59" s="281">
        <v>2020</v>
      </c>
      <c r="AT59" s="281"/>
      <c r="AU59" s="281">
        <v>2021</v>
      </c>
      <c r="AV59" s="281"/>
      <c r="AW59" s="63"/>
      <c r="AX59" s="283" t="s">
        <v>406</v>
      </c>
    </row>
    <row r="60" spans="2:52" ht="6" customHeight="1">
      <c r="B60" s="79"/>
      <c r="C60" s="79"/>
      <c r="D60" s="79"/>
      <c r="E60" s="80"/>
      <c r="F60" s="81"/>
      <c r="G60" s="80"/>
      <c r="H60" s="81"/>
      <c r="I60" s="80"/>
      <c r="J60" s="81"/>
      <c r="K60" s="80"/>
      <c r="L60" s="81"/>
      <c r="M60" s="80"/>
      <c r="N60" s="81"/>
      <c r="O60" s="80"/>
      <c r="P60" s="81"/>
      <c r="Q60" s="80"/>
      <c r="R60" s="81"/>
      <c r="S60" s="80"/>
      <c r="T60" s="81"/>
      <c r="U60" s="80"/>
      <c r="V60" s="81"/>
      <c r="W60" s="80"/>
      <c r="X60" s="81"/>
      <c r="Y60" s="80"/>
      <c r="Z60" s="81"/>
      <c r="AA60" s="80"/>
      <c r="AB60" s="81"/>
      <c r="AC60" s="80"/>
      <c r="AD60" s="81"/>
      <c r="AE60" s="80"/>
      <c r="AF60" s="81"/>
      <c r="AG60" s="80"/>
      <c r="AH60" s="81"/>
      <c r="AI60" s="80"/>
      <c r="AJ60" s="81"/>
      <c r="AK60" s="80"/>
      <c r="AL60" s="81"/>
      <c r="AM60" s="80"/>
      <c r="AN60" s="81"/>
      <c r="AO60" s="80"/>
      <c r="AP60" s="81"/>
      <c r="AQ60" s="80"/>
      <c r="AR60" s="81"/>
      <c r="AS60" s="80"/>
      <c r="AT60" s="80"/>
      <c r="AU60" s="80"/>
      <c r="AV60" s="80"/>
      <c r="AW60" s="80"/>
      <c r="AX60" s="13"/>
    </row>
    <row r="61" spans="2:52" ht="6" customHeight="1">
      <c r="B61" s="16"/>
      <c r="C61" s="16"/>
      <c r="D61" s="16"/>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16"/>
      <c r="AT61" s="16"/>
      <c r="AU61" s="16"/>
      <c r="AV61" s="16"/>
      <c r="AW61" s="16"/>
      <c r="AX61" s="16"/>
    </row>
    <row r="62" spans="2:52" ht="10.5" customHeight="1">
      <c r="B62" s="42">
        <v>1</v>
      </c>
      <c r="C62" s="42"/>
      <c r="D62" s="18" t="s">
        <v>392</v>
      </c>
      <c r="E62" s="65">
        <v>11095</v>
      </c>
      <c r="F62" s="76"/>
      <c r="G62" s="65">
        <v>11068</v>
      </c>
      <c r="H62" s="76"/>
      <c r="I62" s="65">
        <v>12800</v>
      </c>
      <c r="J62" s="76"/>
      <c r="K62" s="65">
        <v>12913</v>
      </c>
      <c r="L62" s="76"/>
      <c r="M62" s="65">
        <v>13296</v>
      </c>
      <c r="N62" s="76"/>
      <c r="O62" s="65">
        <v>13397</v>
      </c>
      <c r="P62" s="76"/>
      <c r="Q62" s="65">
        <v>14003.5</v>
      </c>
      <c r="R62" s="76"/>
      <c r="S62" s="65">
        <v>14452.5</v>
      </c>
      <c r="T62" s="76"/>
      <c r="U62" s="65">
        <v>15139.2</v>
      </c>
      <c r="V62" s="76"/>
      <c r="W62" s="65">
        <v>15810.9</v>
      </c>
      <c r="X62" s="133"/>
      <c r="Y62" s="65">
        <v>16326</v>
      </c>
      <c r="Z62" s="67"/>
      <c r="AA62" s="65">
        <v>16868.222068999999</v>
      </c>
      <c r="AB62" s="76"/>
      <c r="AC62" s="65">
        <v>17281.440962999997</v>
      </c>
      <c r="AD62" s="76"/>
      <c r="AE62" s="65">
        <v>17682.118558999999</v>
      </c>
      <c r="AF62" s="76"/>
      <c r="AG62" s="65">
        <v>17388.519</v>
      </c>
      <c r="AH62" s="76"/>
      <c r="AI62" s="65">
        <v>17665.258999999998</v>
      </c>
      <c r="AJ62" s="76"/>
      <c r="AK62" s="65">
        <v>18132.107</v>
      </c>
      <c r="AL62" s="76"/>
      <c r="AM62" s="65">
        <v>17675.761999999999</v>
      </c>
      <c r="AN62" s="76"/>
      <c r="AO62" s="65">
        <v>18725.819</v>
      </c>
      <c r="AP62" s="76"/>
      <c r="AQ62" s="65">
        <v>18890.296999999999</v>
      </c>
      <c r="AR62" s="76"/>
      <c r="AS62" s="65">
        <v>18487.754750000004</v>
      </c>
      <c r="AT62" s="76"/>
      <c r="AU62" s="65">
        <v>19041.896000000001</v>
      </c>
      <c r="AV62" s="76"/>
      <c r="AW62" s="66"/>
      <c r="AX62" s="18" t="s">
        <v>407</v>
      </c>
    </row>
    <row r="63" spans="2:52" ht="10.5" customHeight="1">
      <c r="B63" s="42">
        <v>2</v>
      </c>
      <c r="C63" s="42"/>
      <c r="D63" s="18" t="s">
        <v>408</v>
      </c>
      <c r="E63" s="65">
        <v>382.28399999999999</v>
      </c>
      <c r="F63" s="76"/>
      <c r="G63" s="65">
        <v>386.48200000000003</v>
      </c>
      <c r="H63" s="76"/>
      <c r="I63" s="65">
        <v>435.11799999999999</v>
      </c>
      <c r="J63" s="76"/>
      <c r="K63" s="65">
        <v>442.40699999999998</v>
      </c>
      <c r="L63" s="76"/>
      <c r="M63" s="65">
        <v>442.54</v>
      </c>
      <c r="N63" s="76"/>
      <c r="O63" s="65">
        <v>446.097256097561</v>
      </c>
      <c r="P63" s="76"/>
      <c r="Q63" s="65">
        <v>448.38600000000002</v>
      </c>
      <c r="R63" s="76"/>
      <c r="S63" s="65">
        <v>507.57</v>
      </c>
      <c r="T63" s="76"/>
      <c r="U63" s="65">
        <v>518.29899999999998</v>
      </c>
      <c r="V63" s="76"/>
      <c r="W63" s="65">
        <v>551.029</v>
      </c>
      <c r="X63" s="133"/>
      <c r="Y63" s="65">
        <v>570.09</v>
      </c>
      <c r="Z63" s="67"/>
      <c r="AA63" s="65">
        <v>605.54276486059996</v>
      </c>
      <c r="AB63" s="76"/>
      <c r="AC63" s="65">
        <v>621.99624011100002</v>
      </c>
      <c r="AD63" s="76"/>
      <c r="AE63" s="65">
        <v>635.93822424494999</v>
      </c>
      <c r="AF63" s="76"/>
      <c r="AG63" s="65">
        <v>648.90964599999995</v>
      </c>
      <c r="AH63" s="76"/>
      <c r="AI63" s="65">
        <v>657.9511886176</v>
      </c>
      <c r="AJ63" s="76"/>
      <c r="AK63" s="65">
        <v>703.91399699999999</v>
      </c>
      <c r="AL63" s="76"/>
      <c r="AM63" s="65">
        <v>673.20200064999995</v>
      </c>
      <c r="AN63" s="76"/>
      <c r="AO63" s="65">
        <v>748.55573149999998</v>
      </c>
      <c r="AP63" s="76"/>
      <c r="AQ63" s="65">
        <v>756.16387780000002</v>
      </c>
      <c r="AR63" s="76"/>
      <c r="AS63" s="65">
        <v>745.60154626500002</v>
      </c>
      <c r="AT63" s="76"/>
      <c r="AU63" s="65">
        <v>785.06325300000003</v>
      </c>
      <c r="AV63" s="76"/>
      <c r="AW63" s="66"/>
      <c r="AX63" s="18" t="s">
        <v>409</v>
      </c>
    </row>
    <row r="64" spans="2:52" ht="10.5" customHeight="1">
      <c r="B64" s="42">
        <v>3</v>
      </c>
      <c r="C64" s="42"/>
      <c r="D64" s="18" t="s">
        <v>410</v>
      </c>
      <c r="E64" s="65">
        <v>2262.6510217821783</v>
      </c>
      <c r="F64" s="76"/>
      <c r="G64" s="65">
        <v>2318.7750000000001</v>
      </c>
      <c r="H64" s="76"/>
      <c r="I64" s="65">
        <v>2731.047</v>
      </c>
      <c r="J64" s="76"/>
      <c r="K64" s="65">
        <v>2702.5889999999999</v>
      </c>
      <c r="L64" s="76"/>
      <c r="M64" s="65">
        <v>2694.2820000000002</v>
      </c>
      <c r="N64" s="76"/>
      <c r="O64" s="65">
        <v>2716.6010000000001</v>
      </c>
      <c r="P64" s="76"/>
      <c r="Q64" s="65">
        <v>2879.056</v>
      </c>
      <c r="R64" s="76"/>
      <c r="S64" s="65">
        <v>2997.9679999999998</v>
      </c>
      <c r="T64" s="76"/>
      <c r="U64" s="65">
        <v>3124.4090000000001</v>
      </c>
      <c r="V64" s="76"/>
      <c r="W64" s="65">
        <v>3305.2510000000002</v>
      </c>
      <c r="X64" s="133"/>
      <c r="Y64" s="65">
        <v>3418.9810000000002</v>
      </c>
      <c r="Z64" s="67"/>
      <c r="AA64" s="65">
        <v>3541.1411153560002</v>
      </c>
      <c r="AB64" s="76"/>
      <c r="AC64" s="65">
        <v>3598.0514972370001</v>
      </c>
      <c r="AD64" s="76"/>
      <c r="AE64" s="65">
        <v>3698.2705728332203</v>
      </c>
      <c r="AF64" s="76"/>
      <c r="AG64" s="65">
        <v>3636.0789340000001</v>
      </c>
      <c r="AH64" s="76"/>
      <c r="AI64" s="65">
        <v>3666.7951826879998</v>
      </c>
      <c r="AJ64" s="76"/>
      <c r="AK64" s="65">
        <v>3891.3823750000001</v>
      </c>
      <c r="AL64" s="76"/>
      <c r="AM64" s="65">
        <v>3726.831205</v>
      </c>
      <c r="AN64" s="76"/>
      <c r="AO64" s="65">
        <v>4135.2095810000001</v>
      </c>
      <c r="AP64" s="76"/>
      <c r="AQ64" s="65">
        <v>4191.0053170000001</v>
      </c>
      <c r="AR64" s="76"/>
      <c r="AS64" s="65">
        <v>4081.9880560000001</v>
      </c>
      <c r="AT64" s="76"/>
      <c r="AU64" s="65">
        <v>4237.9281590000001</v>
      </c>
      <c r="AV64" s="76"/>
      <c r="AW64" s="66"/>
      <c r="AX64" s="18" t="s">
        <v>611</v>
      </c>
    </row>
    <row r="65" spans="2:50" ht="10.5" customHeight="1">
      <c r="B65" s="42">
        <v>4</v>
      </c>
      <c r="C65" s="42"/>
      <c r="D65" s="24" t="s">
        <v>411</v>
      </c>
      <c r="E65" s="28">
        <v>811.20044356435642</v>
      </c>
      <c r="F65" s="68"/>
      <c r="G65" s="28">
        <v>847.81600000000003</v>
      </c>
      <c r="H65" s="68"/>
      <c r="I65" s="28">
        <v>1025.3800000000001</v>
      </c>
      <c r="J65" s="68"/>
      <c r="K65" s="28">
        <v>1034.192</v>
      </c>
      <c r="L65" s="68"/>
      <c r="M65" s="28">
        <v>1040.0540000000001</v>
      </c>
      <c r="N65" s="68"/>
      <c r="O65" s="28">
        <v>1048.0350000000001</v>
      </c>
      <c r="P65" s="68"/>
      <c r="Q65" s="28">
        <v>1111.8710000000001</v>
      </c>
      <c r="R65" s="68"/>
      <c r="S65" s="28">
        <v>1161.92</v>
      </c>
      <c r="T65" s="68"/>
      <c r="U65" s="28">
        <v>1215.1790000000001</v>
      </c>
      <c r="V65" s="68"/>
      <c r="W65" s="28">
        <v>1288.711</v>
      </c>
      <c r="X65" s="75"/>
      <c r="Y65" s="28">
        <v>1335.4970000000001</v>
      </c>
      <c r="Z65" s="23"/>
      <c r="AA65" s="28">
        <v>1379.3450427839998</v>
      </c>
      <c r="AB65" s="68"/>
      <c r="AC65" s="28">
        <v>1410.9258606420001</v>
      </c>
      <c r="AD65" s="68"/>
      <c r="AE65" s="28">
        <v>1439.7929457395601</v>
      </c>
      <c r="AF65" s="68"/>
      <c r="AG65" s="28">
        <v>1421.371607</v>
      </c>
      <c r="AH65" s="68"/>
      <c r="AI65" s="28">
        <v>1434.4095774</v>
      </c>
      <c r="AJ65" s="68"/>
      <c r="AK65" s="28">
        <v>1488.3398419999999</v>
      </c>
      <c r="AL65" s="68"/>
      <c r="AM65" s="28">
        <v>1440.0590569999999</v>
      </c>
      <c r="AN65" s="68"/>
      <c r="AO65" s="28">
        <v>1574.465876</v>
      </c>
      <c r="AP65" s="68"/>
      <c r="AQ65" s="28">
        <v>1589.1005660000001</v>
      </c>
      <c r="AR65" s="68"/>
      <c r="AS65" s="28">
        <v>1556.3331070000002</v>
      </c>
      <c r="AT65" s="68"/>
      <c r="AU65" s="28">
        <v>1603.894769</v>
      </c>
      <c r="AV65" s="68"/>
      <c r="AW65" s="17"/>
      <c r="AX65" s="24" t="s">
        <v>412</v>
      </c>
    </row>
    <row r="66" spans="2:50" ht="10.5" customHeight="1">
      <c r="B66" s="42">
        <v>5</v>
      </c>
      <c r="C66" s="42"/>
      <c r="D66" s="24" t="s">
        <v>413</v>
      </c>
      <c r="E66" s="28">
        <v>1451.4505782178219</v>
      </c>
      <c r="F66" s="75"/>
      <c r="G66" s="28">
        <v>1470.9590000000001</v>
      </c>
      <c r="H66" s="75"/>
      <c r="I66" s="28">
        <v>1705.6669999999999</v>
      </c>
      <c r="J66" s="75"/>
      <c r="K66" s="28">
        <v>1668.3969999999999</v>
      </c>
      <c r="L66" s="75"/>
      <c r="M66" s="28">
        <v>1654.2280000000001</v>
      </c>
      <c r="N66" s="75"/>
      <c r="O66" s="28">
        <v>1668.566</v>
      </c>
      <c r="P66" s="75"/>
      <c r="Q66" s="28">
        <v>1767.1849999999999</v>
      </c>
      <c r="R66" s="75"/>
      <c r="S66" s="28">
        <v>1836.048</v>
      </c>
      <c r="T66" s="75"/>
      <c r="U66" s="28">
        <v>1909.23</v>
      </c>
      <c r="V66" s="75"/>
      <c r="W66" s="28">
        <v>2016.54</v>
      </c>
      <c r="X66" s="75"/>
      <c r="Y66" s="28">
        <v>2083.4839999999999</v>
      </c>
      <c r="Z66" s="23"/>
      <c r="AA66" s="28">
        <v>2161.796072572</v>
      </c>
      <c r="AB66" s="75"/>
      <c r="AC66" s="28">
        <v>2187.1256365949998</v>
      </c>
      <c r="AD66" s="75"/>
      <c r="AE66" s="28">
        <v>2258.47762709366</v>
      </c>
      <c r="AF66" s="75"/>
      <c r="AG66" s="28">
        <v>2214.7073270000001</v>
      </c>
      <c r="AH66" s="75"/>
      <c r="AI66" s="28">
        <v>2232.3856052880001</v>
      </c>
      <c r="AJ66" s="75"/>
      <c r="AK66" s="28">
        <v>2403.0425329999998</v>
      </c>
      <c r="AL66" s="75"/>
      <c r="AM66" s="28">
        <v>2286.772148</v>
      </c>
      <c r="AN66" s="75"/>
      <c r="AO66" s="28">
        <v>2560.7437049999999</v>
      </c>
      <c r="AP66" s="75"/>
      <c r="AQ66" s="28">
        <v>2601.904751</v>
      </c>
      <c r="AR66" s="75"/>
      <c r="AS66" s="28">
        <v>2525.6549490000002</v>
      </c>
      <c r="AT66" s="75"/>
      <c r="AU66" s="28">
        <v>2634.0333900000001</v>
      </c>
      <c r="AV66" s="75"/>
      <c r="AW66" s="17"/>
      <c r="AX66" s="24" t="s">
        <v>612</v>
      </c>
    </row>
    <row r="67" spans="2:50" ht="6" customHeight="1">
      <c r="B67" s="80"/>
      <c r="C67" s="80"/>
      <c r="D67" s="4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46"/>
    </row>
    <row r="72" spans="2:50">
      <c r="B72" s="10" t="s">
        <v>1096</v>
      </c>
    </row>
    <row r="73" spans="2:50">
      <c r="B73" s="156" t="s">
        <v>1097</v>
      </c>
    </row>
    <row r="74" spans="2:50" ht="6" customHeight="1">
      <c r="B74" s="5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row>
    <row r="75" spans="2:50" ht="6.6" customHeight="1"/>
    <row r="76" spans="2:50" ht="14.25" customHeight="1">
      <c r="B76" s="523" t="s">
        <v>405</v>
      </c>
      <c r="C76" s="523"/>
      <c r="D76" s="523"/>
      <c r="E76" s="281">
        <v>2000</v>
      </c>
      <c r="F76" s="404"/>
      <c r="G76" s="281">
        <v>2001</v>
      </c>
      <c r="H76" s="404"/>
      <c r="I76" s="281">
        <v>2002</v>
      </c>
      <c r="J76" s="404"/>
      <c r="K76" s="281">
        <v>2003</v>
      </c>
      <c r="L76" s="404"/>
      <c r="M76" s="281">
        <v>2004</v>
      </c>
      <c r="N76" s="404"/>
      <c r="O76" s="281">
        <v>2005</v>
      </c>
      <c r="P76" s="404"/>
      <c r="Q76" s="281">
        <v>2006</v>
      </c>
      <c r="R76" s="404"/>
      <c r="S76" s="281">
        <v>2007</v>
      </c>
      <c r="T76" s="404"/>
      <c r="U76" s="281">
        <v>2008</v>
      </c>
      <c r="V76" s="404"/>
      <c r="W76" s="281">
        <v>2009</v>
      </c>
      <c r="X76" s="404"/>
      <c r="Y76" s="281">
        <v>2010</v>
      </c>
      <c r="Z76" s="404"/>
      <c r="AA76" s="281">
        <v>2011</v>
      </c>
      <c r="AB76" s="404"/>
      <c r="AC76" s="281">
        <v>2012</v>
      </c>
      <c r="AD76" s="404"/>
      <c r="AE76" s="281">
        <v>2013</v>
      </c>
      <c r="AF76" s="404"/>
      <c r="AG76" s="281">
        <v>2014</v>
      </c>
      <c r="AH76" s="404"/>
      <c r="AI76" s="281">
        <v>2015</v>
      </c>
      <c r="AJ76" s="404"/>
      <c r="AK76" s="281">
        <v>2016</v>
      </c>
      <c r="AL76" s="404"/>
      <c r="AM76" s="281">
        <v>2017</v>
      </c>
      <c r="AN76" s="281"/>
      <c r="AO76" s="281">
        <v>2018</v>
      </c>
      <c r="AP76" s="281"/>
      <c r="AQ76" s="281">
        <v>2019</v>
      </c>
      <c r="AR76" s="281"/>
      <c r="AS76" s="281">
        <v>2020</v>
      </c>
      <c r="AT76" s="281"/>
      <c r="AU76" s="281">
        <v>2021</v>
      </c>
      <c r="AV76" s="281"/>
      <c r="AW76" s="63"/>
      <c r="AX76" s="283" t="s">
        <v>406</v>
      </c>
    </row>
    <row r="77" spans="2:50" ht="6" customHeight="1">
      <c r="B77" s="79"/>
      <c r="C77" s="79"/>
      <c r="D77" s="79"/>
      <c r="E77" s="80"/>
      <c r="F77" s="81"/>
      <c r="G77" s="80"/>
      <c r="H77" s="81"/>
      <c r="I77" s="80"/>
      <c r="J77" s="81"/>
      <c r="K77" s="80"/>
      <c r="L77" s="81"/>
      <c r="M77" s="80"/>
      <c r="N77" s="81"/>
      <c r="O77" s="80"/>
      <c r="P77" s="81"/>
      <c r="Q77" s="80"/>
      <c r="R77" s="81"/>
      <c r="S77" s="80"/>
      <c r="T77" s="81"/>
      <c r="U77" s="80"/>
      <c r="V77" s="81"/>
      <c r="W77" s="80"/>
      <c r="X77" s="81"/>
      <c r="Y77" s="80"/>
      <c r="Z77" s="81"/>
      <c r="AA77" s="80"/>
      <c r="AB77" s="81"/>
      <c r="AC77" s="81"/>
      <c r="AD77" s="81"/>
      <c r="AE77" s="80"/>
      <c r="AF77" s="81"/>
      <c r="AG77" s="80"/>
      <c r="AH77" s="81"/>
      <c r="AI77" s="80"/>
      <c r="AJ77" s="81"/>
      <c r="AK77" s="80"/>
      <c r="AL77" s="81"/>
      <c r="AM77" s="80"/>
      <c r="AN77" s="81"/>
      <c r="AO77" s="80"/>
      <c r="AP77" s="81"/>
      <c r="AQ77" s="80"/>
      <c r="AR77" s="81"/>
      <c r="AS77" s="80"/>
      <c r="AT77" s="81"/>
      <c r="AU77" s="80"/>
      <c r="AV77" s="81"/>
      <c r="AW77" s="80"/>
      <c r="AX77" s="13"/>
    </row>
    <row r="78" spans="2:50" ht="6" customHeight="1">
      <c r="B78" s="16"/>
      <c r="C78" s="16"/>
      <c r="D78" s="16"/>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16"/>
      <c r="AX78" s="16"/>
    </row>
    <row r="79" spans="2:50" ht="10.5" customHeight="1">
      <c r="B79" s="42">
        <v>1</v>
      </c>
      <c r="C79" s="42"/>
      <c r="D79" s="18" t="s">
        <v>392</v>
      </c>
      <c r="E79" s="65">
        <v>12362</v>
      </c>
      <c r="F79" s="133"/>
      <c r="G79" s="65">
        <v>12400</v>
      </c>
      <c r="H79" s="133"/>
      <c r="I79" s="65">
        <v>12843</v>
      </c>
      <c r="J79" s="133"/>
      <c r="K79" s="65">
        <v>12474</v>
      </c>
      <c r="L79" s="133"/>
      <c r="M79" s="65">
        <v>12263</v>
      </c>
      <c r="N79" s="133"/>
      <c r="O79" s="65">
        <v>12381</v>
      </c>
      <c r="P79" s="133"/>
      <c r="Q79" s="65">
        <v>12757</v>
      </c>
      <c r="R79" s="133"/>
      <c r="S79" s="65">
        <v>12541</v>
      </c>
      <c r="T79" s="133"/>
      <c r="U79" s="65">
        <v>12300</v>
      </c>
      <c r="V79" s="133"/>
      <c r="W79" s="65">
        <v>12661.94</v>
      </c>
      <c r="X79" s="133"/>
      <c r="Y79" s="65">
        <v>12590</v>
      </c>
      <c r="Z79" s="67"/>
      <c r="AA79" s="65">
        <v>12372</v>
      </c>
      <c r="AB79" s="133"/>
      <c r="AC79" s="133">
        <v>12679.566999999999</v>
      </c>
      <c r="AD79" s="133"/>
      <c r="AE79" s="65">
        <v>12874.15</v>
      </c>
      <c r="AF79" s="133"/>
      <c r="AG79" s="65">
        <v>12993.768</v>
      </c>
      <c r="AH79" s="133"/>
      <c r="AI79" s="65">
        <v>13121.870999999999</v>
      </c>
      <c r="AJ79" s="133"/>
      <c r="AK79" s="65">
        <v>13110</v>
      </c>
      <c r="AL79" s="133"/>
      <c r="AM79" s="65">
        <v>13179</v>
      </c>
      <c r="AN79" s="133"/>
      <c r="AO79" s="65">
        <v>13111</v>
      </c>
      <c r="AP79" s="133"/>
      <c r="AQ79" s="65">
        <v>12939</v>
      </c>
      <c r="AR79" s="133"/>
      <c r="AS79" s="65">
        <v>13184</v>
      </c>
      <c r="AT79" s="133"/>
      <c r="AU79" s="65">
        <v>13126</v>
      </c>
      <c r="AV79" s="133"/>
      <c r="AW79" s="66"/>
      <c r="AX79" s="18" t="s">
        <v>407</v>
      </c>
    </row>
    <row r="80" spans="2:50" ht="10.5" customHeight="1">
      <c r="B80" s="42">
        <v>2</v>
      </c>
      <c r="C80" s="42"/>
      <c r="D80" s="18" t="s">
        <v>408</v>
      </c>
      <c r="E80" s="65">
        <v>2243</v>
      </c>
      <c r="F80" s="133"/>
      <c r="G80" s="65">
        <v>2314</v>
      </c>
      <c r="H80" s="133"/>
      <c r="I80" s="65">
        <v>2330</v>
      </c>
      <c r="J80" s="133"/>
      <c r="K80" s="65">
        <v>2164</v>
      </c>
      <c r="L80" s="133"/>
      <c r="M80" s="65">
        <v>2167</v>
      </c>
      <c r="N80" s="133"/>
      <c r="O80" s="65">
        <v>2210</v>
      </c>
      <c r="P80" s="133"/>
      <c r="Q80" s="65">
        <v>2305</v>
      </c>
      <c r="R80" s="133"/>
      <c r="S80" s="65">
        <v>2316</v>
      </c>
      <c r="T80" s="133"/>
      <c r="U80" s="65">
        <v>2593</v>
      </c>
      <c r="V80" s="133"/>
      <c r="W80" s="65">
        <v>2419.21</v>
      </c>
      <c r="X80" s="133"/>
      <c r="Y80" s="65">
        <v>2274</v>
      </c>
      <c r="Z80" s="67"/>
      <c r="AA80" s="65">
        <v>2262</v>
      </c>
      <c r="AB80" s="133"/>
      <c r="AC80" s="133">
        <v>2318.2634493982305</v>
      </c>
      <c r="AD80" s="133"/>
      <c r="AE80" s="65">
        <v>2336.7007831504425</v>
      </c>
      <c r="AF80" s="133"/>
      <c r="AG80" s="65">
        <v>2381.4341570619472</v>
      </c>
      <c r="AH80" s="133"/>
      <c r="AI80" s="65">
        <v>2437.0711845840706</v>
      </c>
      <c r="AJ80" s="133"/>
      <c r="AK80" s="65">
        <v>2435</v>
      </c>
      <c r="AL80" s="133"/>
      <c r="AM80" s="65">
        <v>2475.5636422448652</v>
      </c>
      <c r="AN80" s="133"/>
      <c r="AO80" s="65">
        <v>2481.1334072687782</v>
      </c>
      <c r="AP80" s="133"/>
      <c r="AQ80" s="65">
        <v>2438.5443959243098</v>
      </c>
      <c r="AR80" s="133"/>
      <c r="AS80" s="65">
        <v>2494.1857859106767</v>
      </c>
      <c r="AT80" s="133"/>
      <c r="AU80" s="65">
        <v>2583</v>
      </c>
      <c r="AV80" s="133"/>
      <c r="AW80" s="66"/>
      <c r="AX80" s="18" t="s">
        <v>409</v>
      </c>
    </row>
    <row r="81" spans="2:50" ht="10.5" customHeight="1">
      <c r="B81" s="42">
        <v>3</v>
      </c>
      <c r="C81" s="42"/>
      <c r="D81" s="18" t="s">
        <v>410</v>
      </c>
      <c r="E81" s="65">
        <v>13635</v>
      </c>
      <c r="F81" s="133"/>
      <c r="G81" s="65">
        <v>13896</v>
      </c>
      <c r="H81" s="133"/>
      <c r="I81" s="65">
        <v>13805</v>
      </c>
      <c r="J81" s="133"/>
      <c r="K81" s="65">
        <v>13094</v>
      </c>
      <c r="L81" s="133"/>
      <c r="M81" s="65">
        <v>13199</v>
      </c>
      <c r="N81" s="133"/>
      <c r="O81" s="65">
        <v>13462.453977218651</v>
      </c>
      <c r="P81" s="133"/>
      <c r="Q81" s="65">
        <v>14118.88398687168</v>
      </c>
      <c r="R81" s="133"/>
      <c r="S81" s="65">
        <v>13658</v>
      </c>
      <c r="T81" s="133"/>
      <c r="U81" s="65">
        <v>14100</v>
      </c>
      <c r="V81" s="133"/>
      <c r="W81" s="65">
        <v>14330.849999999999</v>
      </c>
      <c r="X81" s="133"/>
      <c r="Y81" s="65">
        <v>13582</v>
      </c>
      <c r="Z81" s="67"/>
      <c r="AA81" s="65">
        <v>13500</v>
      </c>
      <c r="AB81" s="133"/>
      <c r="AC81" s="133">
        <v>13932.720412000001</v>
      </c>
      <c r="AD81" s="133"/>
      <c r="AE81" s="65">
        <v>14057.179255999998</v>
      </c>
      <c r="AF81" s="133"/>
      <c r="AG81" s="65">
        <v>14334.358808000001</v>
      </c>
      <c r="AH81" s="133"/>
      <c r="AI81" s="65">
        <v>15058.802896000001</v>
      </c>
      <c r="AJ81" s="133"/>
      <c r="AK81" s="65">
        <v>15050</v>
      </c>
      <c r="AL81" s="133"/>
      <c r="AM81" s="65">
        <v>15300.711628659228</v>
      </c>
      <c r="AN81" s="133"/>
      <c r="AO81" s="65">
        <v>15335.136665049329</v>
      </c>
      <c r="AP81" s="133"/>
      <c r="AQ81" s="65">
        <v>15071.906841339129</v>
      </c>
      <c r="AR81" s="133"/>
      <c r="AS81" s="65">
        <v>15415.809477599871</v>
      </c>
      <c r="AT81" s="133"/>
      <c r="AU81" s="65">
        <v>15281</v>
      </c>
      <c r="AV81" s="133"/>
      <c r="AW81" s="66"/>
      <c r="AX81" s="18" t="s">
        <v>611</v>
      </c>
    </row>
    <row r="82" spans="2:50" ht="10.5" customHeight="1">
      <c r="B82" s="42">
        <v>4</v>
      </c>
      <c r="C82" s="42"/>
      <c r="D82" s="24" t="s">
        <v>411</v>
      </c>
      <c r="E82" s="28">
        <v>4168</v>
      </c>
      <c r="F82" s="75"/>
      <c r="G82" s="28">
        <v>4236</v>
      </c>
      <c r="H82" s="75"/>
      <c r="I82" s="28">
        <v>4270</v>
      </c>
      <c r="J82" s="75"/>
      <c r="K82" s="28">
        <v>4253</v>
      </c>
      <c r="L82" s="75"/>
      <c r="M82" s="28">
        <v>4305</v>
      </c>
      <c r="N82" s="75"/>
      <c r="O82" s="28">
        <v>4390.9284318453101</v>
      </c>
      <c r="P82" s="75"/>
      <c r="Q82" s="28">
        <v>4579.0975092556801</v>
      </c>
      <c r="R82" s="75"/>
      <c r="S82" s="28">
        <v>4367</v>
      </c>
      <c r="T82" s="75"/>
      <c r="U82" s="28">
        <v>4289</v>
      </c>
      <c r="V82" s="75"/>
      <c r="W82" s="28">
        <v>4394.6400000000003</v>
      </c>
      <c r="X82" s="75"/>
      <c r="Y82" s="28">
        <v>4269</v>
      </c>
      <c r="Z82" s="23"/>
      <c r="AA82" s="28">
        <v>4244</v>
      </c>
      <c r="AB82" s="75"/>
      <c r="AC82" s="75">
        <v>4379.5691939999997</v>
      </c>
      <c r="AD82" s="75"/>
      <c r="AE82" s="28">
        <v>4417.3346519999996</v>
      </c>
      <c r="AF82" s="75"/>
      <c r="AG82" s="28">
        <v>4503.6343559999996</v>
      </c>
      <c r="AH82" s="75"/>
      <c r="AI82" s="28">
        <v>4608.3596580000003</v>
      </c>
      <c r="AJ82" s="75"/>
      <c r="AK82" s="28">
        <v>4606</v>
      </c>
      <c r="AL82" s="75"/>
      <c r="AM82" s="28">
        <v>4682.7294193757079</v>
      </c>
      <c r="AN82" s="75"/>
      <c r="AO82" s="28">
        <v>4693.2650816755622</v>
      </c>
      <c r="AP82" s="75"/>
      <c r="AQ82" s="28">
        <v>4612.7045123726302</v>
      </c>
      <c r="AR82" s="75"/>
      <c r="AS82" s="28">
        <v>4717.9547145398683</v>
      </c>
      <c r="AT82" s="75"/>
      <c r="AU82" s="28">
        <v>4586</v>
      </c>
      <c r="AV82" s="75"/>
      <c r="AW82" s="17"/>
      <c r="AX82" s="24" t="s">
        <v>412</v>
      </c>
    </row>
    <row r="83" spans="2:50" ht="10.5" customHeight="1">
      <c r="B83" s="42">
        <v>5</v>
      </c>
      <c r="C83" s="42"/>
      <c r="D83" s="24" t="s">
        <v>413</v>
      </c>
      <c r="E83" s="28">
        <v>9467</v>
      </c>
      <c r="F83" s="75"/>
      <c r="G83" s="28">
        <v>9660</v>
      </c>
      <c r="H83" s="75"/>
      <c r="I83" s="28">
        <v>9535</v>
      </c>
      <c r="J83" s="75"/>
      <c r="K83" s="28">
        <v>8841</v>
      </c>
      <c r="L83" s="75"/>
      <c r="M83" s="28">
        <v>8894</v>
      </c>
      <c r="N83" s="75"/>
      <c r="O83" s="28">
        <v>9071.5255453733407</v>
      </c>
      <c r="P83" s="75"/>
      <c r="Q83" s="28">
        <v>9539.7864776160004</v>
      </c>
      <c r="R83" s="75"/>
      <c r="S83" s="28">
        <v>9291</v>
      </c>
      <c r="T83" s="75"/>
      <c r="U83" s="28">
        <v>9811</v>
      </c>
      <c r="V83" s="75"/>
      <c r="W83" s="28">
        <v>9936.2099999999991</v>
      </c>
      <c r="X83" s="75"/>
      <c r="Y83" s="28">
        <v>9313</v>
      </c>
      <c r="Z83" s="23"/>
      <c r="AA83" s="28">
        <v>9256</v>
      </c>
      <c r="AB83" s="75"/>
      <c r="AC83" s="75">
        <v>9553.1512180000009</v>
      </c>
      <c r="AD83" s="75"/>
      <c r="AE83" s="28">
        <v>9639.8446039999981</v>
      </c>
      <c r="AF83" s="75"/>
      <c r="AG83" s="28">
        <v>9830.7244520000004</v>
      </c>
      <c r="AH83" s="75"/>
      <c r="AI83" s="28">
        <v>10450.443238</v>
      </c>
      <c r="AJ83" s="75"/>
      <c r="AK83" s="28">
        <v>10444</v>
      </c>
      <c r="AL83" s="75"/>
      <c r="AM83" s="28">
        <v>10617.98220928352</v>
      </c>
      <c r="AN83" s="75"/>
      <c r="AO83" s="28">
        <v>10641.871583373766</v>
      </c>
      <c r="AP83" s="75"/>
      <c r="AQ83" s="28">
        <v>10459.202328966499</v>
      </c>
      <c r="AR83" s="75"/>
      <c r="AS83" s="28">
        <v>10697.854763060002</v>
      </c>
      <c r="AT83" s="75"/>
      <c r="AU83" s="28">
        <v>10695</v>
      </c>
      <c r="AV83" s="75"/>
      <c r="AW83" s="17"/>
      <c r="AX83" s="24" t="s">
        <v>612</v>
      </c>
    </row>
    <row r="84" spans="2:50" ht="6" customHeight="1">
      <c r="B84" s="80"/>
      <c r="C84" s="80"/>
      <c r="D84" s="46"/>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46"/>
    </row>
  </sheetData>
  <mergeCells count="35">
    <mergeCell ref="W26:X26"/>
    <mergeCell ref="Y26:Z26"/>
    <mergeCell ref="E26:F26"/>
    <mergeCell ref="G26:H26"/>
    <mergeCell ref="I26:J26"/>
    <mergeCell ref="K26:L26"/>
    <mergeCell ref="M26:N26"/>
    <mergeCell ref="O26:P26"/>
    <mergeCell ref="Q26:R26"/>
    <mergeCell ref="O47:P47"/>
    <mergeCell ref="Q47:R47"/>
    <mergeCell ref="B26:D26"/>
    <mergeCell ref="S26:T26"/>
    <mergeCell ref="U26:V26"/>
    <mergeCell ref="E47:F47"/>
    <mergeCell ref="G47:H47"/>
    <mergeCell ref="I47:J47"/>
    <mergeCell ref="K47:L47"/>
    <mergeCell ref="M47:N47"/>
    <mergeCell ref="B59:D59"/>
    <mergeCell ref="B76:D76"/>
    <mergeCell ref="B5:D5"/>
    <mergeCell ref="AQ26:AR26"/>
    <mergeCell ref="AQ47:AR47"/>
    <mergeCell ref="AA26:AB26"/>
    <mergeCell ref="AA47:AB47"/>
    <mergeCell ref="AO26:AP26"/>
    <mergeCell ref="AO47:AP47"/>
    <mergeCell ref="AM26:AN26"/>
    <mergeCell ref="AM47:AN47"/>
    <mergeCell ref="B47:D47"/>
    <mergeCell ref="S47:T47"/>
    <mergeCell ref="U47:V47"/>
    <mergeCell ref="W47:X47"/>
    <mergeCell ref="Y47:Z47"/>
  </mergeCells>
  <printOptions horizontalCentered="1"/>
  <pageMargins left="0" right="0" top="0" bottom="0" header="0" footer="0"/>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J42"/>
  <sheetViews>
    <sheetView showGridLines="0" zoomScaleNormal="100" workbookViewId="0">
      <selection sqref="A1:D1"/>
    </sheetView>
  </sheetViews>
  <sheetFormatPr defaultColWidth="9.109375" defaultRowHeight="13.2"/>
  <cols>
    <col min="1" max="1" width="12" style="348" customWidth="1"/>
    <col min="2" max="2" width="66.88671875" style="348" customWidth="1"/>
    <col min="3" max="3" width="10" style="348" customWidth="1"/>
    <col min="4" max="4" width="66.88671875" style="348" customWidth="1"/>
    <col min="5" max="5" width="1.6640625" style="348" customWidth="1"/>
    <col min="6" max="16384" width="9.109375" style="348"/>
  </cols>
  <sheetData>
    <row r="1" spans="1:114" s="369" customFormat="1" ht="32.25" customHeight="1">
      <c r="A1" s="419" t="s">
        <v>1078</v>
      </c>
      <c r="B1" s="419"/>
      <c r="C1" s="419"/>
      <c r="D1" s="419"/>
      <c r="E1" s="367"/>
      <c r="F1" s="367"/>
      <c r="G1" s="367"/>
      <c r="H1" s="367"/>
      <c r="I1" s="367"/>
      <c r="J1" s="367"/>
      <c r="K1" s="367"/>
      <c r="L1" s="367"/>
      <c r="M1" s="367"/>
      <c r="N1" s="367"/>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row>
    <row r="2" spans="1:114" s="369" customFormat="1" ht="20.399999999999999">
      <c r="A2" s="367"/>
      <c r="B2" s="367"/>
      <c r="C2" s="367"/>
      <c r="D2" s="367"/>
      <c r="E2" s="367"/>
      <c r="F2" s="367"/>
      <c r="G2" s="367"/>
      <c r="H2" s="367"/>
      <c r="I2" s="367"/>
      <c r="J2" s="367"/>
      <c r="K2" s="367"/>
      <c r="L2" s="367"/>
      <c r="M2" s="367"/>
      <c r="N2" s="367"/>
    </row>
    <row r="3" spans="1:114">
      <c r="A3" s="347" t="s">
        <v>1059</v>
      </c>
      <c r="B3" s="347"/>
      <c r="C3" s="347" t="s">
        <v>1060</v>
      </c>
      <c r="D3" s="347"/>
      <c r="G3" s="369"/>
      <c r="H3" s="369"/>
      <c r="I3" s="369"/>
      <c r="J3" s="369"/>
      <c r="K3" s="369"/>
      <c r="L3" s="351"/>
      <c r="M3" s="351"/>
      <c r="N3" s="351"/>
    </row>
    <row r="4" spans="1:114" ht="6.75" customHeight="1">
      <c r="A4" s="349"/>
      <c r="B4" s="349"/>
      <c r="C4" s="349"/>
      <c r="D4" s="349"/>
      <c r="G4" s="369"/>
      <c r="H4" s="369"/>
      <c r="I4" s="369"/>
      <c r="J4" s="369"/>
      <c r="K4" s="369"/>
      <c r="L4" s="351"/>
      <c r="M4" s="351"/>
      <c r="N4" s="351"/>
    </row>
    <row r="5" spans="1:114" ht="15" customHeight="1">
      <c r="A5" s="376" t="str">
        <f>MID('Kort om statistiken'!A1:U1,1,19)</f>
        <v>Kort om statistiken</v>
      </c>
      <c r="B5" s="375"/>
      <c r="C5" s="376" t="str">
        <f>MID('Kort om statistiken'!A1,21,200)</f>
        <v>The Statistics in Brief</v>
      </c>
      <c r="D5" s="375"/>
      <c r="G5" s="369"/>
      <c r="H5" s="369"/>
      <c r="I5" s="369"/>
      <c r="J5" s="369"/>
      <c r="K5" s="369"/>
      <c r="L5" s="351"/>
      <c r="M5" s="351"/>
      <c r="N5" s="351"/>
    </row>
    <row r="6" spans="1:114" ht="15" customHeight="1">
      <c r="A6" s="376" t="str">
        <f>Definitioner!A1</f>
        <v>Definitioner</v>
      </c>
      <c r="B6" s="375"/>
      <c r="C6" s="376" t="str">
        <f>Definitioner!A1</f>
        <v>Definitioner</v>
      </c>
      <c r="D6" s="375"/>
      <c r="G6" s="369"/>
      <c r="H6" s="369"/>
      <c r="I6" s="369"/>
      <c r="J6" s="369"/>
      <c r="K6" s="369"/>
      <c r="L6" s="351"/>
      <c r="M6" s="351"/>
      <c r="N6" s="351"/>
    </row>
    <row r="7" spans="1:114" ht="15" customHeight="1">
      <c r="A7" s="376" t="str">
        <f>MID(Teckenförklaring_Legends!A1,1,16)</f>
        <v>Teckenförklaring</v>
      </c>
      <c r="B7" s="375"/>
      <c r="C7" s="376" t="str">
        <f>MID(Teckenförklaring_Legends!A1,18,200)</f>
        <v>Legends</v>
      </c>
      <c r="D7" s="375"/>
      <c r="G7" s="369"/>
      <c r="H7" s="369"/>
      <c r="I7" s="369"/>
      <c r="J7" s="369"/>
      <c r="K7" s="369"/>
      <c r="L7" s="351"/>
      <c r="M7" s="351"/>
      <c r="N7" s="351"/>
    </row>
    <row r="8" spans="1:114" ht="15" customHeight="1">
      <c r="A8" s="376" t="str">
        <f>Huvudmän!B1</f>
        <v>Huvudmän i svensk bantrafik 2021.</v>
      </c>
      <c r="B8" s="375"/>
      <c r="C8" s="376" t="str">
        <f>Huvudmän!B2</f>
        <v>Bodies in Swedish rail traffic 2021.</v>
      </c>
      <c r="D8" s="375"/>
      <c r="G8" s="369"/>
      <c r="H8" s="369"/>
      <c r="I8" s="369"/>
      <c r="J8" s="369"/>
      <c r="K8" s="369"/>
      <c r="L8" s="351"/>
      <c r="M8" s="351"/>
      <c r="N8" s="351"/>
    </row>
    <row r="9" spans="1:114" ht="15" customHeight="1">
      <c r="A9" s="376" t="str">
        <f>Tågoperatörer!B1</f>
        <v>Tågoperatörer i svensk bantrafik 2021.</v>
      </c>
      <c r="B9" s="375"/>
      <c r="C9" s="376" t="str">
        <f>Tågoperatörer!B2</f>
        <v>Rail undertakings in Swedish rail traffic 2021.</v>
      </c>
      <c r="D9" s="375"/>
      <c r="G9" s="369"/>
      <c r="H9" s="369"/>
      <c r="I9" s="369"/>
      <c r="J9" s="369"/>
      <c r="K9" s="369"/>
      <c r="L9" s="351"/>
      <c r="M9" s="351"/>
      <c r="N9" s="351"/>
    </row>
    <row r="10" spans="1:114" ht="6" customHeight="1">
      <c r="A10" s="376"/>
      <c r="B10" s="375"/>
      <c r="C10" s="376"/>
      <c r="D10" s="375"/>
      <c r="G10" s="369"/>
      <c r="H10" s="369"/>
      <c r="I10" s="369"/>
      <c r="J10" s="369"/>
      <c r="K10" s="369"/>
      <c r="L10" s="351"/>
      <c r="M10" s="351"/>
      <c r="N10" s="351"/>
    </row>
    <row r="11" spans="1:114" ht="20.25" customHeight="1">
      <c r="A11" s="373" t="str">
        <f>MID('Tabell 1.1 (1)'!B1,1,11)</f>
        <v>Tabell 1.1.</v>
      </c>
      <c r="B11" s="374" t="str">
        <f>MID('Tabell 1.1 (1)'!B1,13,200)</f>
        <v>Historisk översikt – Järnvägar (sida 1).</v>
      </c>
      <c r="C11" s="373" t="str">
        <f>MID('Tabell 1.1 (1)'!B2,1,10)</f>
        <v>Table 1.1.</v>
      </c>
      <c r="D11" s="374" t="str">
        <f>MID('Tabell 1.1 (1)'!B2,12,200)</f>
        <v>Historical overview – Railways (page 1).</v>
      </c>
      <c r="G11" s="351"/>
      <c r="H11" s="351"/>
      <c r="I11" s="351"/>
      <c r="J11" s="351"/>
      <c r="K11" s="351"/>
      <c r="L11" s="351"/>
      <c r="M11" s="351"/>
      <c r="N11" s="351"/>
    </row>
    <row r="12" spans="1:114" ht="20.25" customHeight="1">
      <c r="A12" s="373" t="str">
        <f>MID('Tabell 1.1 (2)'!B1,1,11)</f>
        <v>Tabell 1.1.</v>
      </c>
      <c r="B12" s="374" t="str">
        <f>MID('Tabell 1.1 (2)'!B1,13,200)</f>
        <v>Historisk översikt – Järnvägar (sida 2).</v>
      </c>
      <c r="C12" s="373" t="str">
        <f>MID('Tabell 1.1 (2)'!B2,1,10)</f>
        <v>Table 1.1.</v>
      </c>
      <c r="D12" s="374" t="str">
        <f>MID('Tabell 1.1 (2)'!B2,12,200)</f>
        <v>Historical overview – Railways (page 2).</v>
      </c>
      <c r="G12" s="370"/>
      <c r="H12" s="351"/>
      <c r="I12" s="351"/>
      <c r="J12" s="351"/>
      <c r="K12" s="351"/>
      <c r="L12" s="351"/>
      <c r="M12" s="351"/>
      <c r="N12" s="351"/>
    </row>
    <row r="13" spans="1:114" ht="20.25" customHeight="1">
      <c r="A13" s="373" t="str">
        <f>MID('Tabell 1.1 (3)'!B1,1,11)</f>
        <v>Tabell 1.1.</v>
      </c>
      <c r="B13" s="374" t="str">
        <f>MID('Tabell 1.1 (3)'!B1,13,200)</f>
        <v>Historisk översikt – Järnvägar (sida 3).</v>
      </c>
      <c r="C13" s="373" t="str">
        <f>MID('Tabell 1.1 (3)'!B2,1,10)</f>
        <v>Table 1.1.</v>
      </c>
      <c r="D13" s="374" t="str">
        <f>MID('Tabell 1.1 (3)'!B2,12,200)</f>
        <v>Historical overview – Railways (page 3).</v>
      </c>
    </row>
    <row r="14" spans="1:114" ht="20.25" customHeight="1">
      <c r="A14" s="373" t="str">
        <f>MID('Tabell 1.1 (4)'!B1,1,11)</f>
        <v>Tabell 1.1.</v>
      </c>
      <c r="B14" s="374" t="str">
        <f>MID('Tabell 1.1 (4)'!B1,13,200)</f>
        <v>Historisk översikt – Järnvägar (sida 4).</v>
      </c>
      <c r="C14" s="373" t="str">
        <f>MID('Tabell 1.1 (4)'!B2,1,10)</f>
        <v>Table 1.1.</v>
      </c>
      <c r="D14" s="374" t="str">
        <f>MID('Tabell 1.1 (4)'!B2,12,200)</f>
        <v>Historical overview – Railways (page 4).</v>
      </c>
    </row>
    <row r="15" spans="1:114" ht="20.25" customHeight="1">
      <c r="A15" s="376" t="str">
        <f>MID('Tabell 2.1–2.2'!B1,1,11)</f>
        <v>Tabell 2.1.</v>
      </c>
      <c r="B15" s="375" t="str">
        <f>MID('Tabell 2.1–2.2'!B1,13,200)</f>
        <v>Infrastruktur och investeringar – Järnvägar.</v>
      </c>
      <c r="C15" s="376" t="str">
        <f>MID('Tabell 2.1–2.2'!B2,1,10)</f>
        <v>Table 2.1.</v>
      </c>
      <c r="D15" s="375" t="str">
        <f>MID('Tabell 2.1–2.2'!B2,12,200)</f>
        <v>Infrastructure and investments – Railways.</v>
      </c>
    </row>
    <row r="16" spans="1:114" ht="20.25" customHeight="1">
      <c r="A16" s="376" t="str">
        <f>MID('Tabell 2.1–2.2'!B72,1,11)</f>
        <v>Tabell 2.2.</v>
      </c>
      <c r="B16" s="375" t="str">
        <f>MID('Tabell 2.1–2.2'!B72,13,200)</f>
        <v>Personal för infrastrukturarbeten och trafikledning – Järnvägar.</v>
      </c>
      <c r="C16" s="376" t="str">
        <f>MID('Tabell 2.1–2.2'!B73,1,10)</f>
        <v>Table 2.2.</v>
      </c>
      <c r="D16" s="375" t="str">
        <f>MID('Tabell 2.1–2.2'!B73,12,200)</f>
        <v>Staff strength for infrastructure works and traffic control – Railways.</v>
      </c>
    </row>
    <row r="17" spans="1:5" ht="20.25" customHeight="1">
      <c r="A17" s="376" t="str">
        <f>MID('Tabell 2.3–2.4'!B1,1,11)</f>
        <v>Tabell 2.3.</v>
      </c>
      <c r="B17" s="375" t="str">
        <f>MID('Tabell 2.3–2.4'!B1,13,200)</f>
        <v>Infrastruktur och investeringar – Spårvägar.</v>
      </c>
      <c r="C17" s="376" t="str">
        <f>MID('Tabell 2.3–2.4'!B2,1,10)</f>
        <v>Table 2.3.</v>
      </c>
      <c r="D17" s="375" t="str">
        <f>MID('Tabell 2.3–2.4'!B2,12,200)</f>
        <v>Infrastructure and investments – Trams.</v>
      </c>
    </row>
    <row r="18" spans="1:5" ht="20.25" customHeight="1">
      <c r="A18" s="376" t="str">
        <f>MID('Tabell 2.3–2.4'!B49,1,11)</f>
        <v>Tabell 2.4.</v>
      </c>
      <c r="B18" s="375" t="str">
        <f>MID('Tabell 2.3–2.4'!B49,13,200)</f>
        <v>Personal för infrastrukturarbeten och trafikledning – Spårvägar.</v>
      </c>
      <c r="C18" s="376" t="str">
        <f>MID('Tabell 2.3–2.4'!B50,1,10)</f>
        <v>Table 2.4.</v>
      </c>
      <c r="D18" s="375" t="str">
        <f>MID('Tabell 2.3–2.4'!B50,12,200)</f>
        <v>Staff strength for infrastructure works and traffic control – Trams.</v>
      </c>
      <c r="E18" s="350"/>
    </row>
    <row r="19" spans="1:5" ht="20.25" customHeight="1">
      <c r="A19" s="376" t="str">
        <f>MID('Tabell 2.5–2.6'!B1,1,11)</f>
        <v>Tabell 2.5.</v>
      </c>
      <c r="B19" s="375" t="str">
        <f>MID('Tabell 2.5–2.6'!B1,13,200)</f>
        <v>Infrastruktur och investeringar – Tunnelbanan.</v>
      </c>
      <c r="C19" s="376" t="str">
        <f>MID('Tabell 2.5–2.6'!B2,1,10)</f>
        <v>Table 2.5.</v>
      </c>
      <c r="D19" s="375" t="str">
        <f>MID('Tabell 2.5–2.6'!B2,12,200)</f>
        <v>Infrastructure and investments – Metro.</v>
      </c>
    </row>
    <row r="20" spans="1:5" ht="20.25" customHeight="1">
      <c r="A20" s="376" t="str">
        <f>MID('Tabell 2.5–2.6'!B43,1,11)</f>
        <v>Tabell 2.6.</v>
      </c>
      <c r="B20" s="375" t="str">
        <f>MID('Tabell 2.5–2.6'!B43,13,200)</f>
        <v>Personal för infrastrukturarbeten och trafikledning – Tunnelbanan.</v>
      </c>
      <c r="C20" s="376" t="str">
        <f>MID('Tabell 2.5–2.6'!B44,1,10)</f>
        <v>Table 2.6.</v>
      </c>
      <c r="D20" s="375" t="str">
        <f>MID('Tabell 2.5–2.6'!B44,12,200)</f>
        <v>Staff strength for infrastructure works and traffic control – Metro.</v>
      </c>
    </row>
    <row r="21" spans="1:5" ht="20.25" customHeight="1">
      <c r="A21" s="376" t="str">
        <f>MID('Tabell 2.7'!B1,1,11)</f>
        <v>Tabell 2.7.</v>
      </c>
      <c r="B21" s="375" t="str">
        <f>MID('Tabell 2.7'!B1,13,200)</f>
        <v>Infrastruktur, trafikerad banlängd efter län – Järnvägar.</v>
      </c>
      <c r="C21" s="376" t="str">
        <f>MID('Tabell 2.7'!B2,1,10)</f>
        <v>Table 2.7.</v>
      </c>
      <c r="D21" s="375" t="str">
        <f>MID('Tabell 2.7'!B2,12,200)</f>
        <v>Infrastructure, length of lines worked by county – Railways.</v>
      </c>
    </row>
    <row r="22" spans="1:5" ht="20.25" customHeight="1">
      <c r="A22" s="376" t="str">
        <f>MID('Tabell 3.1–3.3'!B1,1,11)</f>
        <v>Tabell 3.1.</v>
      </c>
      <c r="B22" s="375" t="str">
        <f>MID('Tabell 3.1–3.3'!B1,13,200)</f>
        <v>Dragfordon – Järnvägar.</v>
      </c>
      <c r="C22" s="376" t="str">
        <f>MID('Tabell 3.1–3.3'!B2,1,10)</f>
        <v>Table 3.1.</v>
      </c>
      <c r="D22" s="375" t="str">
        <f>MID('Tabell 3.1–3.3'!B2,12,200)</f>
        <v>Tractive stock – Railways.</v>
      </c>
    </row>
    <row r="23" spans="1:5" ht="20.25" customHeight="1">
      <c r="A23" s="376" t="str">
        <f>MID('Tabell 3.1–3.3'!B74,1,11)</f>
        <v>Tabell 3.2.</v>
      </c>
      <c r="B23" s="375" t="str">
        <f>MID('Tabell 3.1–3.3'!B74,13,200)</f>
        <v>Dragfordon – Spårvägar.</v>
      </c>
      <c r="C23" s="376" t="str">
        <f>MID('Tabell 3.1–3.3'!B75,1,10)</f>
        <v>Table 3.2.</v>
      </c>
      <c r="D23" s="375" t="str">
        <f>MID('Tabell 3.1–3.3'!B75,12,200)</f>
        <v>Tractive stock – Trams.</v>
      </c>
    </row>
    <row r="24" spans="1:5" ht="20.25" customHeight="1">
      <c r="A24" s="376" t="str">
        <f>MID('Tabell 3.1–3.3'!B86,1,11)</f>
        <v>Tabell 3.3.</v>
      </c>
      <c r="B24" s="375" t="str">
        <f>MID('Tabell 3.1–3.3'!B86,13,200)</f>
        <v>Dragfordon – Tunnelbanan.</v>
      </c>
      <c r="C24" s="376" t="str">
        <f>MID('Tabell 3.1–3.3'!B87,1,10)</f>
        <v>Table 3.3.</v>
      </c>
      <c r="D24" s="375" t="str">
        <f>MID('Tabell 3.1–3.3'!B87,12,200)</f>
        <v>Tractive stock – Metro.</v>
      </c>
      <c r="E24" s="351"/>
    </row>
    <row r="25" spans="1:5" ht="20.25" customHeight="1">
      <c r="A25" s="376" t="str">
        <f>MID('Tabell 3.4'!B1,1,11)</f>
        <v>Tabell 3.4.</v>
      </c>
      <c r="B25" s="375" t="str">
        <f>MID('Tabell 3.4'!B1,13,200)</f>
        <v>Transportfordon godstrafik – Järnvägar.</v>
      </c>
      <c r="C25" s="376" t="str">
        <f>MID('Tabell 3.4'!B2,1,10)</f>
        <v>Table 3.4.</v>
      </c>
      <c r="D25" s="375" t="str">
        <f>MID('Tabell 3.4'!B2,12,200)</f>
        <v>Transport stock freight traffic – Railways.</v>
      </c>
    </row>
    <row r="26" spans="1:5" ht="20.25" customHeight="1">
      <c r="A26" s="373" t="str">
        <f>MID('Tabell 3.5–3.7'!B1,1,11)</f>
        <v>Tabell 3.5.</v>
      </c>
      <c r="B26" s="374" t="str">
        <f>MID('Tabell 3.5–3.7'!B1,13,200)</f>
        <v>Transportfordon persontrafik – Järnvägar.</v>
      </c>
      <c r="C26" s="373" t="str">
        <f>MID('Tabell 3.5–3.7'!B2,1,10)</f>
        <v>Table 3.5.</v>
      </c>
      <c r="D26" s="374" t="str">
        <f>MID('Tabell 3.5–3.7'!B2,12,200)</f>
        <v>Transport stock passenger traffic – Railways.</v>
      </c>
      <c r="E26" s="372"/>
    </row>
    <row r="27" spans="1:5" ht="20.25" customHeight="1">
      <c r="A27" s="373" t="str">
        <f>MID('Tabell 3.5–3.7'!B49,1,11)</f>
        <v>Tabell 3.6.</v>
      </c>
      <c r="B27" s="374" t="str">
        <f>MID('Tabell 3.5–3.7'!B49,13,200)</f>
        <v>Transportfordon – Spårvägar.</v>
      </c>
      <c r="C27" s="373" t="str">
        <f>MID('Tabell 3.5–3.7'!B50,1,10)</f>
        <v>Table 3.6.</v>
      </c>
      <c r="D27" s="374" t="str">
        <f>MID('Tabell 3.5–3.7'!B50,12,200)</f>
        <v>Transport stock – Trams.</v>
      </c>
    </row>
    <row r="28" spans="1:5" ht="20.25" customHeight="1">
      <c r="A28" s="373" t="str">
        <f>MID('Tabell 3.5–3.7'!B65,1,11)</f>
        <v>Tabell 3.7.</v>
      </c>
      <c r="B28" s="374" t="str">
        <f>MID('Tabell 3.5–3.7'!B65,13,200)</f>
        <v>Transportfordon – Tunnelbanan.</v>
      </c>
      <c r="C28" s="373" t="str">
        <f>MID('Tabell 3.5–3.7'!B66,1,10)</f>
        <v>Table 3.7.</v>
      </c>
      <c r="D28" s="374" t="str">
        <f>MID('Tabell 3.5–3.7'!B66,12,200)</f>
        <v>Transport stock – Metro.</v>
      </c>
    </row>
    <row r="29" spans="1:5" ht="20.25" customHeight="1">
      <c r="A29" s="376" t="str">
        <f>MID('Tabell 4.1–4.3'!B1,1,11)</f>
        <v>Tabell 4.1.</v>
      </c>
      <c r="B29" s="375" t="str">
        <f>MID('Tabell 4.1–4.3'!B1,13,200)</f>
        <v>Trafik – Järnvägar.</v>
      </c>
      <c r="C29" s="376" t="str">
        <f>MID('Tabell 4.1–4.3'!B2,1,10)</f>
        <v>Table 4.1.</v>
      </c>
      <c r="D29" s="375" t="str">
        <f>MID('Tabell 4.1–4.3'!B2,12,200)</f>
        <v>Traffic – Railways.</v>
      </c>
    </row>
    <row r="30" spans="1:5" ht="20.25" customHeight="1">
      <c r="A30" s="376" t="str">
        <f>MID('Tabell 4.1–4.3'!B55,1,11)</f>
        <v>Tabell 4.2.</v>
      </c>
      <c r="B30" s="375" t="str">
        <f>MID('Tabell 4.1–4.3'!B55,13,200)</f>
        <v>Trafik – Spårvägar.</v>
      </c>
      <c r="C30" s="376" t="str">
        <f>MID('Tabell 4.1–4.3'!B56,1,10)</f>
        <v>Table 4.2.</v>
      </c>
      <c r="D30" s="375" t="str">
        <f>MID('Tabell 4.1–4.3'!B56,12,200)</f>
        <v>Traffic – Trams.</v>
      </c>
    </row>
    <row r="31" spans="1:5" ht="20.25" customHeight="1">
      <c r="A31" s="376" t="str">
        <f>MID('Tabell 4.1–4.3'!B72,1,11)</f>
        <v>Tabell 4.3.</v>
      </c>
      <c r="B31" s="375" t="str">
        <f>MID('Tabell 4.1–4.3'!B72,13,200)</f>
        <v>Trafik – Tunnelbanan.</v>
      </c>
      <c r="C31" s="376" t="str">
        <f>MID('Tabell 4.1–4.3'!B73,1,10)</f>
        <v>Table 4.3.</v>
      </c>
      <c r="D31" s="375" t="str">
        <f>MID('Tabell 4.1–4.3'!B73,12,200)</f>
        <v>Traffic – Metro.</v>
      </c>
    </row>
    <row r="32" spans="1:5" ht="20.25" customHeight="1">
      <c r="A32" s="376" t="str">
        <f>MID('Tabell 4.4–4.6'!B1,1,11)</f>
        <v>Tabell 4.4.</v>
      </c>
      <c r="B32" s="375" t="str">
        <f>MID('Tabell 4.4–4.6'!B1,13,200)</f>
        <v>Personal för trafik – Järnvägar.</v>
      </c>
      <c r="C32" s="376" t="str">
        <f>MID('Tabell 4.4–4.6'!B2,1,10)</f>
        <v>Table 4.4.</v>
      </c>
      <c r="D32" s="375" t="str">
        <f>MID('Tabell 4.4–4.6'!B2,12,200)</f>
        <v>Staff strength for traffic – Railways.</v>
      </c>
    </row>
    <row r="33" spans="1:5" ht="20.25" customHeight="1">
      <c r="A33" s="376" t="str">
        <f>MID('Tabell 4.4–4.6'!B30,1,11)</f>
        <v>Tabell 4.5.</v>
      </c>
      <c r="B33" s="375" t="str">
        <f>MID('Tabell 4.4–4.6'!B30,13,200)</f>
        <v>Personal för trafik – Spårvägar.</v>
      </c>
      <c r="C33" s="376" t="str">
        <f>MID('Tabell 4.4–4.6'!B31,1,10)</f>
        <v>Table 4.5.</v>
      </c>
      <c r="D33" s="375" t="str">
        <f>MID('Tabell 4.4–4.6'!B31,12,200)</f>
        <v>Staff strength for traffic – Trams.</v>
      </c>
    </row>
    <row r="34" spans="1:5" ht="20.25" customHeight="1">
      <c r="A34" s="376" t="str">
        <f>MID('Tabell 4.4–4.6'!B46,1,11)</f>
        <v>Tabell 4.6.</v>
      </c>
      <c r="B34" s="375" t="str">
        <f>MID('Tabell 4.4–4.6'!B46,13,200)</f>
        <v>Personal för trafik – Tunnelbanan.</v>
      </c>
      <c r="C34" s="376" t="str">
        <f>MID('Tabell 4.4–4.6'!B47,1,10)</f>
        <v>Table 4.6.</v>
      </c>
      <c r="D34" s="375" t="str">
        <f>MID('Tabell 4.4–4.6'!B47,12,200)</f>
        <v>Staff strength for traffic – Metro.</v>
      </c>
    </row>
    <row r="35" spans="1:5" ht="20.25" customHeight="1">
      <c r="A35" s="373" t="str">
        <f>MID('Tabell 4.7'!B1,1,11)</f>
        <v>Tabell 4.7.</v>
      </c>
      <c r="B35" s="374" t="str">
        <f>MID('Tabell 4.7'!B1,13,200)</f>
        <v>Godstransporter på järnväg, fördelat på typ av transport.</v>
      </c>
      <c r="C35" s="373" t="str">
        <f>MID('Tabell 4.7'!B2,1,10)</f>
        <v>Table 4.7.</v>
      </c>
      <c r="D35" s="374" t="str">
        <f>MID('Tabell 4.7'!B2,12,200)</f>
        <v>Goods transport by railway, by type of transport.</v>
      </c>
    </row>
    <row r="36" spans="1:5" ht="20.25" customHeight="1">
      <c r="A36" s="373" t="str">
        <f>MID('Tabell 4.8'!B1,1,11)</f>
        <v>Tabell 4.8.</v>
      </c>
      <c r="B36" s="374" t="str">
        <f>MID('Tabell 4.8'!B1,13,200)</f>
        <v>Varugruppsfördelning av transporterat gods på järnväg enligt NST 2007 (sida 1).</v>
      </c>
      <c r="C36" s="373" t="str">
        <f>MID('Tabell 4.8'!B2,1,10)</f>
        <v>Table 4.8.</v>
      </c>
      <c r="D36" s="374" t="str">
        <f>MID('Tabell 4.8'!B2,12,200)</f>
        <v>Goods transported by railway according to NST 2007 freight category (page 1).</v>
      </c>
    </row>
    <row r="37" spans="1:5" ht="20.25" customHeight="1">
      <c r="A37" s="373" t="str">
        <f>MID('Tabell 4.8 (forts)'!B1,1,11)</f>
        <v>Tabell 4.8.</v>
      </c>
      <c r="B37" s="374" t="str">
        <f>MID('Tabell 4.8 (forts)'!B1,13,200)</f>
        <v>Varugruppsfördelning av transporterat gods på järnväg enligt NST 2007 (sida 2).</v>
      </c>
      <c r="C37" s="373" t="str">
        <f>MID('Tabell 4.8 (forts)'!B2,1,10)</f>
        <v>Table 4.8.</v>
      </c>
      <c r="D37" s="374" t="str">
        <f>MID('Tabell 4.8 (forts)'!B2,12,200)</f>
        <v>Goods transported by railway according to NST 2007 freight category (page 2).</v>
      </c>
      <c r="E37" s="375"/>
    </row>
    <row r="38" spans="1:5" ht="20.25" customHeight="1">
      <c r="A38" s="373" t="str">
        <f>MID('Tabell 4.9'!B1,1,11)</f>
        <v>Tabell 4.9.</v>
      </c>
      <c r="B38" s="374" t="str">
        <f>MID('Tabell 4.9'!B1,13,200)</f>
        <v>Kombitransporter av gods på järnväg, fördelat på typ av lastenhet.</v>
      </c>
      <c r="C38" s="373" t="str">
        <f>MID('Tabell 4.9'!B2,1,10)</f>
        <v>Table 4.9.</v>
      </c>
      <c r="D38" s="374" t="str">
        <f>MID('Tabell 4.9'!B2,12,200)</f>
        <v>Intermodal freight transport by railway, by type of transport unit.</v>
      </c>
    </row>
    <row r="39" spans="1:5" ht="20.25" customHeight="1">
      <c r="A39" s="373" t="str">
        <f>MID('Tabell 4.10'!B1,1,12)</f>
        <v>Tabell 4.10.</v>
      </c>
      <c r="B39" s="374" t="str">
        <f>MID('Tabell 4.10'!B1,14,200)</f>
        <v>Varuslagsfördelning av transporterat farligt gods på järnväg enligt RID.</v>
      </c>
      <c r="C39" s="373" t="str">
        <f>MID('Tabell 4.10'!B2,1,11)</f>
        <v>Table 4.10.</v>
      </c>
      <c r="D39" s="374" t="str">
        <f>MID('Tabell 4.10'!B2,13,200)</f>
        <v>Dangerous goods transported by railway according to RID.</v>
      </c>
      <c r="E39" s="371"/>
    </row>
    <row r="40" spans="1:5" ht="20.25" customHeight="1">
      <c r="A40" s="373" t="str">
        <f>MID('Tabell 4.11–4.13'!B1,1,12)</f>
        <v>Tabell 4.11.</v>
      </c>
      <c r="B40" s="374" t="str">
        <f>MID('Tabell 4.11–4.13'!B1,14,200)</f>
        <v>Persontransporter – Järnvägar.</v>
      </c>
      <c r="C40" s="373" t="str">
        <f>MID('Tabell 4.11–4.13'!B2,1,11)</f>
        <v>Table 4.11.</v>
      </c>
      <c r="D40" s="374" t="str">
        <f>MID('Tabell 4.11–4.13'!B2,13,200)</f>
        <v>Passenger transport – Railways.</v>
      </c>
      <c r="E40" s="371"/>
    </row>
    <row r="41" spans="1:5" ht="20.25" customHeight="1">
      <c r="A41" s="373" t="str">
        <f>MID('Tabell 4.11–4.13'!B51,1,12)</f>
        <v>Tabell 4.12.</v>
      </c>
      <c r="B41" s="374" t="str">
        <f>MID('Tabell 4.11–4.13'!B51,14,200)</f>
        <v>Persontransporter – Spårvägar.</v>
      </c>
      <c r="C41" s="373" t="str">
        <f>MID('Tabell 4.11–4.13'!B52,1,11)</f>
        <v>Table 4.12.</v>
      </c>
      <c r="D41" s="374" t="str">
        <f>MID('Tabell 4.11–4.13'!B52,13,200)</f>
        <v>Passenger transport – Trams.</v>
      </c>
      <c r="E41" s="371"/>
    </row>
    <row r="42" spans="1:5" ht="20.25" customHeight="1">
      <c r="A42" s="415" t="str">
        <f>MID('Tabell 4.11–4.13'!B72,1,12)</f>
        <v>Tabell 4.13.</v>
      </c>
      <c r="B42" s="416" t="str">
        <f>MID('Tabell 4.11–4.13'!B72,14,200)</f>
        <v>Persontransporter – Tunnelbana.</v>
      </c>
      <c r="C42" s="415" t="str">
        <f>MID('Tabell 4.11–4.13'!B73,1,11)</f>
        <v>Table 4.13.</v>
      </c>
      <c r="D42" s="416" t="str">
        <f>MID('Tabell 4.11–4.13'!B73,13,200)</f>
        <v>Passenger transport – Metro.</v>
      </c>
    </row>
  </sheetData>
  <mergeCells count="1">
    <mergeCell ref="A1:D1"/>
  </mergeCells>
  <hyperlinks>
    <hyperlink ref="A11:B11" location="'Tabell 1'!A1" display="'Tabell 1'!A1" xr:uid="{00000000-0004-0000-0100-000000000000}"/>
    <hyperlink ref="C11:D11" location="'Tabell 1'!A1" display="'Tabell 1'!A1" xr:uid="{00000000-0004-0000-0100-000001000000}"/>
    <hyperlink ref="A15:B15" location="'Tabell 5'!A1" display="'Tabell 5'!A1" xr:uid="{00000000-0004-0000-0100-000002000000}"/>
    <hyperlink ref="A16:B16" location="'Tabell 6'!A1" display="'Tabell 6'!A1" xr:uid="{00000000-0004-0000-0100-000003000000}"/>
    <hyperlink ref="C16:D16" location="'Tabell 6'!A1" display="'Tabell 6'!A1" xr:uid="{00000000-0004-0000-0100-000004000000}"/>
    <hyperlink ref="A17:B17" location="'Tabell 7'!A1" display="'Tabell 7'!A1" xr:uid="{00000000-0004-0000-0100-000005000000}"/>
    <hyperlink ref="C17:D17" location="'Tabell 7'!A1" display="'Tabell 7'!A1" xr:uid="{00000000-0004-0000-0100-000006000000}"/>
    <hyperlink ref="A18:B18" location="'Tabell 8'!A1" display="'Tabell 8'!A1" xr:uid="{00000000-0004-0000-0100-000007000000}"/>
    <hyperlink ref="C18:D18" location="'Tabell 8'!A1" display="'Tabell 8'!A1" xr:uid="{00000000-0004-0000-0100-000008000000}"/>
    <hyperlink ref="A19:B19" location="'Figur 1'!A1" display="'Figur 1'!A1" xr:uid="{00000000-0004-0000-0100-000009000000}"/>
    <hyperlink ref="C19:D19" location="'Figur 1'!A1" display="'Figur 1'!A1" xr:uid="{00000000-0004-0000-0100-00000A000000}"/>
    <hyperlink ref="A20:B20" location="'Figur 2'!A1" display="'Figur 2'!A1" xr:uid="{00000000-0004-0000-0100-00000B000000}"/>
    <hyperlink ref="C20:D20" location="'Figur 2'!A1" display="'Figur 2'!A1" xr:uid="{00000000-0004-0000-0100-00000C000000}"/>
    <hyperlink ref="A21:B21" location="'Figur 3'!A1" display="'Figur 3'!A1" xr:uid="{00000000-0004-0000-0100-00000D000000}"/>
    <hyperlink ref="C21:D21" location="'Figur 3'!A1" display="'Figur 3'!A1" xr:uid="{00000000-0004-0000-0100-00000E000000}"/>
    <hyperlink ref="A22:B22" location="'Figur 4'!A1" display="'Figur 4'!A1" xr:uid="{00000000-0004-0000-0100-00000F000000}"/>
    <hyperlink ref="C22:D22" location="'Figur 4'!A1" display="'Figur 4'!A1" xr:uid="{00000000-0004-0000-0100-000010000000}"/>
    <hyperlink ref="A23:B23" location="'Figur 5'!A1" display="'Figur 5'!A1" xr:uid="{00000000-0004-0000-0100-000011000000}"/>
    <hyperlink ref="C23:D23" location="'Figur 5'!A1" display="'Figur 5'!A1" xr:uid="{00000000-0004-0000-0100-000012000000}"/>
    <hyperlink ref="A24:B24" location="'Figur 6'!A1" display="'Figur 6'!A1" xr:uid="{00000000-0004-0000-0100-000013000000}"/>
    <hyperlink ref="C24:D24" location="'Figur 6'!A1" display="'Figur 6'!A1" xr:uid="{00000000-0004-0000-0100-000014000000}"/>
    <hyperlink ref="A25:B25" location="'Figur 7'!A1" display="'Figur 7'!A1" xr:uid="{00000000-0004-0000-0100-000015000000}"/>
    <hyperlink ref="C25:D25" location="'Figur 7'!A1" display="'Figur 7'!A1" xr:uid="{00000000-0004-0000-0100-000016000000}"/>
    <hyperlink ref="A26:B26" location="'Figur 8'!A1" display="'Figur 8'!A1" xr:uid="{00000000-0004-0000-0100-000017000000}"/>
    <hyperlink ref="C26:D26" location="'Figur 8'!A1" display="'Figur 8'!A1" xr:uid="{00000000-0004-0000-0100-000018000000}"/>
    <hyperlink ref="A27:B27" location="'Figur 9'!A1" display="'Figur 9'!A1" xr:uid="{00000000-0004-0000-0100-000019000000}"/>
    <hyperlink ref="C27:D27" location="'Figur 9'!A1" display="'Figur 9'!A1" xr:uid="{00000000-0004-0000-0100-00001A000000}"/>
    <hyperlink ref="A28:B28" location="'Figur 10'!A1" display="'Figur 10'!A1" xr:uid="{00000000-0004-0000-0100-00001B000000}"/>
    <hyperlink ref="C28:D28" location="'Figur 10'!A1" display="'Figur 10'!A1" xr:uid="{00000000-0004-0000-0100-00001C000000}"/>
    <hyperlink ref="A5" location="'Kort om statistiken'!A1" display="'Kort om statistiken'!A1" xr:uid="{00000000-0004-0000-0100-00001D000000}"/>
    <hyperlink ref="A6" location="Definitioner!A1" display="Definitioner!A1" xr:uid="{00000000-0004-0000-0100-00001E000000}"/>
    <hyperlink ref="A7" location="Teckenförklaring_Legends!A1" display="Teckenförklaring_Legends!A1" xr:uid="{00000000-0004-0000-0100-00001F000000}"/>
    <hyperlink ref="C7" location="Teckenförklaring_Legends!A1" display="Teckenförklaring_Legends!A1" xr:uid="{00000000-0004-0000-0100-000020000000}"/>
    <hyperlink ref="C6" location="Definitioner!A1" display="Definitioner!A1" xr:uid="{00000000-0004-0000-0100-000021000000}"/>
    <hyperlink ref="C5" location="'Kort om statistiken'!A1" display="'Kort om statistiken'!A1" xr:uid="{00000000-0004-0000-0100-000022000000}"/>
    <hyperlink ref="A8" location="Huvudmän!A1" display="Huvudmän!A1" xr:uid="{00000000-0004-0000-0100-000023000000}"/>
    <hyperlink ref="C8" location="Huvudmän!A1" display="Huvudmän!A1" xr:uid="{00000000-0004-0000-0100-000024000000}"/>
    <hyperlink ref="C9" location="Tågoperatörer!A1" display="Tågoperatörer!A1" xr:uid="{00000000-0004-0000-0100-000025000000}"/>
    <hyperlink ref="A9:D9" location="Tågoperatörer!A1" display="Tågoperatörer!A1" xr:uid="{00000000-0004-0000-0100-000026000000}"/>
    <hyperlink ref="A8:D8" location="Huvudmän!A1" display="Huvudmän!A1" xr:uid="{00000000-0004-0000-0100-000027000000}"/>
    <hyperlink ref="A5:D5" location="'Kort om statistiken'!A1" display="'Kort om statistiken'!A1" xr:uid="{00000000-0004-0000-0100-000028000000}"/>
    <hyperlink ref="A6:D6" location="Definitioner!A1" display="Definitioner!A1" xr:uid="{00000000-0004-0000-0100-000029000000}"/>
    <hyperlink ref="A7:D7" location="Teckenförklaring_Legends!A1" display="Teckenförklaring_Legends!A1" xr:uid="{00000000-0004-0000-0100-00002A000000}"/>
    <hyperlink ref="A12" location="'Tabell 1'!A1" display="'Tabell 1'!A1" xr:uid="{00000000-0004-0000-0100-00002B000000}"/>
    <hyperlink ref="A13" location="'Tabell 1'!A1" display="'Tabell 1'!A1" xr:uid="{00000000-0004-0000-0100-00002C000000}"/>
    <hyperlink ref="A14" location="'Tabell 1'!A1" display="'Tabell 1'!A1" xr:uid="{00000000-0004-0000-0100-00002D000000}"/>
    <hyperlink ref="C11" location="'Tabell 1'!A1" display="'Tabell 1'!A1" xr:uid="{00000000-0004-0000-0100-00002E000000}"/>
    <hyperlink ref="C12" location="'Tabell 1'!A1" display="'Tabell 1'!A1" xr:uid="{00000000-0004-0000-0100-00002F000000}"/>
    <hyperlink ref="C13" location="'Tabell 1'!A1" display="'Tabell 1'!A1" xr:uid="{00000000-0004-0000-0100-000030000000}"/>
    <hyperlink ref="C14" location="'Tabell 1'!A1" display="'Tabell 1'!A1" xr:uid="{00000000-0004-0000-0100-000031000000}"/>
    <hyperlink ref="B11" location="'Tabell 1'!A1" display="'Tabell 1'!A1" xr:uid="{00000000-0004-0000-0100-000032000000}"/>
    <hyperlink ref="B12" location="'Tabell 1'!A1" display="'Tabell 1'!A1" xr:uid="{00000000-0004-0000-0100-000033000000}"/>
    <hyperlink ref="B13" location="'Tabell 1'!A1" display="'Tabell 1'!A1" xr:uid="{00000000-0004-0000-0100-000034000000}"/>
    <hyperlink ref="B14" location="'Tabell 1'!A1" display="'Tabell 1'!A1" xr:uid="{00000000-0004-0000-0100-000035000000}"/>
    <hyperlink ref="D11" location="'Tabell 1'!A1" display="'Tabell 1'!A1" xr:uid="{00000000-0004-0000-0100-000036000000}"/>
    <hyperlink ref="D12" location="'Tabell 1'!A1" display="'Tabell 1'!A1" xr:uid="{00000000-0004-0000-0100-000037000000}"/>
    <hyperlink ref="D13" location="'Tabell 1'!A1" display="'Tabell 1'!A1" xr:uid="{00000000-0004-0000-0100-000038000000}"/>
    <hyperlink ref="D14" location="'Tabell 1'!A1" display="'Tabell 1'!A1" xr:uid="{00000000-0004-0000-0100-000039000000}"/>
    <hyperlink ref="C15" location="'Tabell 5'!A1" display="'Tabell 5'!A1" xr:uid="{00000000-0004-0000-0100-00003A000000}"/>
    <hyperlink ref="C16" location="'Tabell 6'!A1" display="'Tabell 6'!A1" xr:uid="{00000000-0004-0000-0100-00003B000000}"/>
    <hyperlink ref="C17" location="'Tabell 7'!A1" display="'Tabell 7'!A1" xr:uid="{00000000-0004-0000-0100-00003C000000}"/>
    <hyperlink ref="C18" location="'Tabell 8'!A1" display="'Tabell 8'!A1" xr:uid="{00000000-0004-0000-0100-00003D000000}"/>
    <hyperlink ref="C19" location="'Figur 1'!A1" display="'Figur 1'!A1" xr:uid="{00000000-0004-0000-0100-00003E000000}"/>
    <hyperlink ref="C20" location="'Figur 2'!A1" display="'Figur 2'!A1" xr:uid="{00000000-0004-0000-0100-00003F000000}"/>
    <hyperlink ref="C21" location="'Figur 3'!A1" display="'Figur 3'!A1" xr:uid="{00000000-0004-0000-0100-000040000000}"/>
    <hyperlink ref="C22" location="'Figur 4'!A1" display="'Figur 4'!A1" xr:uid="{00000000-0004-0000-0100-000041000000}"/>
    <hyperlink ref="C23" location="'Figur 5'!A1" display="'Figur 5'!A1" xr:uid="{00000000-0004-0000-0100-000042000000}"/>
    <hyperlink ref="C24" location="'Figur 6'!A1" display="'Figur 6'!A1" xr:uid="{00000000-0004-0000-0100-000043000000}"/>
    <hyperlink ref="C25" location="'Figur 7'!A1" display="'Figur 7'!A1" xr:uid="{00000000-0004-0000-0100-000044000000}"/>
    <hyperlink ref="C26" location="'Figur 8'!A1" display="'Figur 8'!A1" xr:uid="{00000000-0004-0000-0100-000045000000}"/>
    <hyperlink ref="C27" location="'Figur 9'!A1" display="'Figur 9'!A1" xr:uid="{00000000-0004-0000-0100-000046000000}"/>
    <hyperlink ref="C28" location="'Figur 10'!A1" display="'Figur 10'!A1" xr:uid="{00000000-0004-0000-0100-000047000000}"/>
    <hyperlink ref="B15" location="'Tabell 5'!A1" display="'Tabell 5'!A1" xr:uid="{00000000-0004-0000-0100-000048000000}"/>
    <hyperlink ref="B16" location="'Tabell 6'!A1" display="'Tabell 6'!A1" xr:uid="{00000000-0004-0000-0100-000049000000}"/>
    <hyperlink ref="B17" location="'Tabell 7'!A1" display="'Tabell 7'!A1" xr:uid="{00000000-0004-0000-0100-00004A000000}"/>
    <hyperlink ref="B18" location="'Tabell 8'!A1" display="'Tabell 8'!A1" xr:uid="{00000000-0004-0000-0100-00004B000000}"/>
    <hyperlink ref="B19" location="'Figur 1'!A1" display="'Figur 1'!A1" xr:uid="{00000000-0004-0000-0100-00004C000000}"/>
    <hyperlink ref="B20" location="'Figur 2'!A1" display="'Figur 2'!A1" xr:uid="{00000000-0004-0000-0100-00004D000000}"/>
    <hyperlink ref="B21" location="'Figur 3'!A1" display="'Figur 3'!A1" xr:uid="{00000000-0004-0000-0100-00004E000000}"/>
    <hyperlink ref="B22" location="'Figur 4'!A1" display="'Figur 4'!A1" xr:uid="{00000000-0004-0000-0100-00004F000000}"/>
    <hyperlink ref="B23" location="'Figur 5'!A1" display="'Figur 5'!A1" xr:uid="{00000000-0004-0000-0100-000050000000}"/>
    <hyperlink ref="B24" location="'Figur 6'!A1" display="'Figur 6'!A1" xr:uid="{00000000-0004-0000-0100-000051000000}"/>
    <hyperlink ref="B25" location="'Figur 7'!A1" display="'Figur 7'!A1" xr:uid="{00000000-0004-0000-0100-000052000000}"/>
    <hyperlink ref="B26" location="'Figur 8'!A1" display="'Figur 8'!A1" xr:uid="{00000000-0004-0000-0100-000053000000}"/>
    <hyperlink ref="B27" location="'Figur 9'!A1" display="'Figur 9'!A1" xr:uid="{00000000-0004-0000-0100-000054000000}"/>
    <hyperlink ref="B28" location="'Figur 10'!A1" display="'Figur 10'!A1" xr:uid="{00000000-0004-0000-0100-000055000000}"/>
    <hyperlink ref="D16" location="'Tabell 6'!A1" display="'Tabell 6'!A1" xr:uid="{00000000-0004-0000-0100-000056000000}"/>
    <hyperlink ref="D17" location="'Tabell 7'!A1" display="'Tabell 7'!A1" xr:uid="{00000000-0004-0000-0100-000057000000}"/>
    <hyperlink ref="D18" location="'Tabell 8'!A1" display="'Tabell 8'!A1" xr:uid="{00000000-0004-0000-0100-000058000000}"/>
    <hyperlink ref="D19" location="'Figur 1'!A1" display="'Figur 1'!A1" xr:uid="{00000000-0004-0000-0100-000059000000}"/>
    <hyperlink ref="D20" location="'Figur 2'!A1" display="'Figur 2'!A1" xr:uid="{00000000-0004-0000-0100-00005A000000}"/>
    <hyperlink ref="D21" location="'Figur 3'!A1" display="'Figur 3'!A1" xr:uid="{00000000-0004-0000-0100-00005B000000}"/>
    <hyperlink ref="D22" location="'Figur 4'!A1" display="'Figur 4'!A1" xr:uid="{00000000-0004-0000-0100-00005C000000}"/>
    <hyperlink ref="D23" location="'Figur 5'!A1" display="'Figur 5'!A1" xr:uid="{00000000-0004-0000-0100-00005D000000}"/>
    <hyperlink ref="D24" location="'Figur 6'!A1" display="'Figur 6'!A1" xr:uid="{00000000-0004-0000-0100-00005E000000}"/>
    <hyperlink ref="D25" location="'Figur 7'!A1" display="'Figur 7'!A1" xr:uid="{00000000-0004-0000-0100-00005F000000}"/>
    <hyperlink ref="D26" location="'Figur 8'!A1" display="'Figur 8'!A1" xr:uid="{00000000-0004-0000-0100-000060000000}"/>
    <hyperlink ref="D27" location="'Figur 9'!A1" display="'Figur 9'!A1" xr:uid="{00000000-0004-0000-0100-000061000000}"/>
    <hyperlink ref="D28" location="'Figur 10'!A1" display="'Figur 10'!A1" xr:uid="{00000000-0004-0000-0100-000062000000}"/>
    <hyperlink ref="D15" location="'Tabell 5'!A1" display="'Tabell 5'!A1" xr:uid="{00000000-0004-0000-0100-000063000000}"/>
    <hyperlink ref="A11:D11" location="'Tabell 1.1 (1)'!A1" display="'Tabell 1.1 (1)'!A1" xr:uid="{00000000-0004-0000-0100-000064000000}"/>
    <hyperlink ref="A12:D12" location="'Tabell 1.1 (2)'!A1" display="'Tabell 1.1 (2)'!A1" xr:uid="{00000000-0004-0000-0100-000065000000}"/>
    <hyperlink ref="A13:D13" location="'Tabell 1.1 (3)'!A1" display="'Tabell 1.1 (3)'!A1" xr:uid="{00000000-0004-0000-0100-000066000000}"/>
    <hyperlink ref="A14:D14" location="'Tabell 1.1 (4)'!A1" display="'Tabell 1.1 (4)'!A1" xr:uid="{00000000-0004-0000-0100-000067000000}"/>
    <hyperlink ref="A15:D15" location="'Tabell 2.1–2.2'!A1" display="'Tabell 2.1–2.2'!A1" xr:uid="{00000000-0004-0000-0100-000068000000}"/>
    <hyperlink ref="A16:D16" location="'Tabell 2.1–2.2'!B79" display="'Tabell 2.1–2.2'!B79" xr:uid="{00000000-0004-0000-0100-000069000000}"/>
    <hyperlink ref="A17:D17" location="'Tabell 2.3–2.4'!A1" display="'Tabell 2.3–2.4'!A1" xr:uid="{00000000-0004-0000-0100-00006A000000}"/>
    <hyperlink ref="A18:D18" location="'Tabell 2.3–2.4'!A54" display="'Tabell 2.3–2.4'!A54" xr:uid="{00000000-0004-0000-0100-00006B000000}"/>
    <hyperlink ref="A19:D19" location="'Tabell 2.5–2.6'!A1" display="'Tabell 2.5–2.6'!A1" xr:uid="{00000000-0004-0000-0100-00006C000000}"/>
    <hyperlink ref="A20:D20" location="'Tabell 2.5–2.6'!A48" display="'Tabell 2.5–2.6'!A48" xr:uid="{00000000-0004-0000-0100-00006D000000}"/>
    <hyperlink ref="A21:D21" location="'Tabell 2.7'!A1" display="'Tabell 2.7'!A1" xr:uid="{00000000-0004-0000-0100-00006E000000}"/>
    <hyperlink ref="A22:D22" location="'Tabell 3.1–3.3'!A1" display="'Tabell 3.1–3.3'!A1" xr:uid="{00000000-0004-0000-0100-00006F000000}"/>
    <hyperlink ref="A23:D23" location="'Tabell 3.1–3.3'!A74" display="'Tabell 3.1–3.3'!A74" xr:uid="{00000000-0004-0000-0100-000070000000}"/>
    <hyperlink ref="A24:D24" location="'Tabell 3.1–3.3'!A86" display="'Tabell 3.1–3.3'!A86" xr:uid="{00000000-0004-0000-0100-000071000000}"/>
    <hyperlink ref="A25:D25" location="'Tabell 3.4'!A1" display="'Tabell 3.4'!A1" xr:uid="{00000000-0004-0000-0100-000072000000}"/>
    <hyperlink ref="A26:D26" location="'Tabell 3.5–3.7'!A1" display="'Tabell 3.5–3.7'!A1" xr:uid="{00000000-0004-0000-0100-000073000000}"/>
    <hyperlink ref="A27:D27" location="'Tabell 3.5–3.7'!A49" display="'Tabell 3.5–3.7'!A49" xr:uid="{00000000-0004-0000-0100-000074000000}"/>
    <hyperlink ref="A28:D28" location="'Tabell 3.5–3.7'!A65" display="'Tabell 3.5–3.7'!A65" xr:uid="{00000000-0004-0000-0100-000075000000}"/>
    <hyperlink ref="A29:D29" location="'Tabell 4.1–4.3'!A1" display="'Tabell 4.1–4.3'!A1" xr:uid="{00000000-0004-0000-0100-000076000000}"/>
    <hyperlink ref="A30:D30" location="'Tabell 4.1–4.3'!A55" display="'Tabell 4.1–4.3'!A55" xr:uid="{00000000-0004-0000-0100-000077000000}"/>
    <hyperlink ref="A31:D31" location="'Tabell 4.1–4.3'!A72" display="'Tabell 4.1–4.3'!A72" xr:uid="{00000000-0004-0000-0100-000078000000}"/>
    <hyperlink ref="A32:D32" location="'Tabell 4.4–4.6'!A1" display="'Tabell 4.4–4.6'!A1" xr:uid="{00000000-0004-0000-0100-000079000000}"/>
    <hyperlink ref="A33:D33" location="'Tabell 4.4–4.6'!A30" display="'Tabell 4.4–4.6'!A30" xr:uid="{00000000-0004-0000-0100-00007A000000}"/>
    <hyperlink ref="A34:D34" location="'Tabell 4.4–4.6'!A46" display="'Tabell 4.4–4.6'!A46" xr:uid="{00000000-0004-0000-0100-00007B000000}"/>
    <hyperlink ref="A35:D35" location="'Tabell 4.7'!A1" display="'Tabell 4.7'!A1" xr:uid="{00000000-0004-0000-0100-00007C000000}"/>
    <hyperlink ref="A36:D36" location="'Tabell 4.11'!A1" display="'Tabell 4.11'!A1" xr:uid="{00000000-0004-0000-0100-00007D000000}"/>
    <hyperlink ref="A37:D37" location="'Tabell 4.8 (forts)'!A1" display="'Tabell 4.8 (forts)'!A1" xr:uid="{00000000-0004-0000-0100-00007E000000}"/>
    <hyperlink ref="A38:D38" location="'Tabell 4.9'!A1" display="'Tabell 4.9'!A1" xr:uid="{00000000-0004-0000-0100-00007F000000}"/>
    <hyperlink ref="A39:D39" location="'Tabell 4.10'!A1" display="'Tabell 4.10'!A1" xr:uid="{00000000-0004-0000-0100-000080000000}"/>
    <hyperlink ref="A40:D40" location="'Tabell 4.11–4.13'!A1" display="'Tabell 4.11–4.13'!A1" xr:uid="{00000000-0004-0000-0100-000081000000}"/>
    <hyperlink ref="A41:D41" location="'Tabell 4.11–4.13'!A58" display="'Tabell 4.11–4.13'!A58" xr:uid="{00000000-0004-0000-0100-000082000000}"/>
    <hyperlink ref="A42:D42" location="'Tabell 4.11–4.13'!A76" display="'Tabell 4.11–4.13'!A76" xr:uid="{00000000-0004-0000-0100-000083000000}"/>
    <hyperlink ref="A36:B36" location="'Tabell 4.8'!A1" display="'Tabell 4.8'!A1" xr:uid="{908C337D-C44B-45A1-95D9-5C60BA9A29A4}"/>
    <hyperlink ref="C36:D36" location="'Tabell 4.8'!A1" display="'Tabell 4.8'!A1" xr:uid="{E7132210-06AF-4B45-A21A-008D8C210AB7}"/>
  </hyperlinks>
  <pageMargins left="0.75" right="0.75" top="1" bottom="1" header="0.5" footer="0.5"/>
  <pageSetup paperSize="9" scale="58" orientation="landscape" r:id="rId1"/>
  <headerFooter alignWithMargins="0"/>
  <rowBreaks count="1" manualBreakCount="1">
    <brk id="37"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BG60"/>
  <sheetViews>
    <sheetView workbookViewId="0"/>
  </sheetViews>
  <sheetFormatPr defaultColWidth="9.109375" defaultRowHeight="13.8" outlineLevelCol="1"/>
  <cols>
    <col min="1" max="1" width="0.88671875" style="11" customWidth="1"/>
    <col min="2" max="2" width="3" style="11" customWidth="1"/>
    <col min="3" max="3" width="0.88671875" style="11" customWidth="1"/>
    <col min="4" max="4" width="26.6640625" style="11" customWidth="1"/>
    <col min="5" max="5" width="5.6640625" style="11" hidden="1" customWidth="1" outlineLevel="1"/>
    <col min="6" max="6" width="1.33203125" style="11" hidden="1" customWidth="1" outlineLevel="1"/>
    <col min="7" max="7" width="5.6640625" style="11" hidden="1" customWidth="1" outlineLevel="1"/>
    <col min="8" max="8" width="1.33203125" style="11" hidden="1" customWidth="1" outlineLevel="1"/>
    <col min="9" max="9" width="5.6640625" style="11" hidden="1" customWidth="1" outlineLevel="1"/>
    <col min="10" max="10" width="1.33203125" style="11" hidden="1" customWidth="1" outlineLevel="1"/>
    <col min="11" max="11" width="5.6640625" style="11" hidden="1" customWidth="1" outlineLevel="1"/>
    <col min="12" max="12" width="1.33203125" style="11" hidden="1" customWidth="1" outlineLevel="1"/>
    <col min="13" max="13" width="5.6640625" style="11" hidden="1" customWidth="1" outlineLevel="1"/>
    <col min="14" max="14" width="1.33203125" style="11" hidden="1" customWidth="1" outlineLevel="1"/>
    <col min="15" max="15" width="5.6640625" style="11" hidden="1" customWidth="1" outlineLevel="1"/>
    <col min="16" max="16" width="1.33203125" style="11" hidden="1" customWidth="1" outlineLevel="1"/>
    <col min="17" max="17" width="5.6640625" style="11" hidden="1" customWidth="1" outlineLevel="1"/>
    <col min="18" max="18" width="1.33203125" style="11" hidden="1" customWidth="1" outlineLevel="1"/>
    <col min="19" max="19" width="6.6640625" style="11" hidden="1" customWidth="1" outlineLevel="1"/>
    <col min="20" max="20" width="1.33203125" style="11" hidden="1" customWidth="1" outlineLevel="1"/>
    <col min="21" max="21" width="6.6640625" style="11" hidden="1" customWidth="1" outlineLevel="1"/>
    <col min="22" max="22" width="1.33203125" style="11" hidden="1" customWidth="1" outlineLevel="1"/>
    <col min="23" max="23" width="6.6640625" style="11" hidden="1" customWidth="1" outlineLevel="1"/>
    <col min="24" max="24" width="1.33203125" style="11" hidden="1" customWidth="1" outlineLevel="1"/>
    <col min="25" max="25" width="6.6640625" style="11" hidden="1" customWidth="1" outlineLevel="1"/>
    <col min="26" max="26" width="1.33203125" style="11" hidden="1" customWidth="1" outlineLevel="1"/>
    <col min="27" max="27" width="6.6640625" style="11" hidden="1" customWidth="1" outlineLevel="1"/>
    <col min="28" max="28" width="1.33203125" style="11" hidden="1" customWidth="1" outlineLevel="1"/>
    <col min="29" max="29" width="6.5546875" style="11" hidden="1" customWidth="1" outlineLevel="1"/>
    <col min="30" max="30" width="1.33203125" style="11" hidden="1" customWidth="1" outlineLevel="1"/>
    <col min="31" max="31" width="6.6640625" style="11" hidden="1" customWidth="1" outlineLevel="1"/>
    <col min="32" max="32" width="1.33203125" style="11" hidden="1" customWidth="1" outlineLevel="1"/>
    <col min="33" max="33" width="6.6640625" style="11" hidden="1" customWidth="1" outlineLevel="1"/>
    <col min="34" max="34" width="1.33203125" style="11" hidden="1" customWidth="1" outlineLevel="1"/>
    <col min="35" max="35" width="6.6640625" style="11" hidden="1" customWidth="1" outlineLevel="1"/>
    <col min="36" max="36" width="1.33203125" style="11" hidden="1" customWidth="1" outlineLevel="1"/>
    <col min="37" max="37" width="6.6640625" style="11" customWidth="1" collapsed="1"/>
    <col min="38" max="38" width="1.33203125" style="11" customWidth="1"/>
    <col min="39" max="39" width="6.6640625" style="11" customWidth="1"/>
    <col min="40" max="40" width="1.33203125" style="11" customWidth="1"/>
    <col min="41" max="41" width="6.6640625" style="11" customWidth="1"/>
    <col min="42" max="42" width="1.33203125" style="11" customWidth="1"/>
    <col min="43" max="43" width="6.6640625" style="11" customWidth="1"/>
    <col min="44" max="44" width="1.33203125" style="11" customWidth="1"/>
    <col min="45" max="45" width="5.88671875" style="11" bestFit="1" customWidth="1"/>
    <col min="46" max="46" width="1.88671875" style="11" customWidth="1"/>
    <col min="47" max="47" width="5.88671875" style="11" bestFit="1" customWidth="1"/>
    <col min="48" max="48" width="1.88671875" style="11" customWidth="1"/>
    <col min="49" max="49" width="0.88671875" style="11" customWidth="1"/>
    <col min="50" max="50" width="31.109375" style="11" customWidth="1"/>
    <col min="51" max="16384" width="9.109375" style="11"/>
  </cols>
  <sheetData>
    <row r="1" spans="2:59">
      <c r="B1" s="10" t="s">
        <v>1098</v>
      </c>
    </row>
    <row r="2" spans="2:59">
      <c r="B2" s="156" t="s">
        <v>1099</v>
      </c>
    </row>
    <row r="3" spans="2:59" ht="6" customHeight="1">
      <c r="B3" s="10"/>
    </row>
    <row r="4" spans="2:59" ht="6.6" customHeight="1">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row>
    <row r="5" spans="2:59" ht="6.6" customHeight="1"/>
    <row r="6" spans="2:59" ht="14.25" customHeight="1">
      <c r="B6" s="523" t="s">
        <v>266</v>
      </c>
      <c r="C6" s="523"/>
      <c r="D6" s="523"/>
      <c r="E6" s="281">
        <v>2000</v>
      </c>
      <c r="F6" s="404"/>
      <c r="G6" s="281">
        <v>2001</v>
      </c>
      <c r="H6" s="404"/>
      <c r="I6" s="281">
        <v>2002</v>
      </c>
      <c r="J6" s="404"/>
      <c r="K6" s="281">
        <v>2003</v>
      </c>
      <c r="L6" s="404"/>
      <c r="M6" s="281">
        <v>2004</v>
      </c>
      <c r="N6" s="404"/>
      <c r="O6" s="281">
        <v>2005</v>
      </c>
      <c r="P6" s="404"/>
      <c r="Q6" s="281">
        <v>2006</v>
      </c>
      <c r="R6" s="404"/>
      <c r="S6" s="281">
        <v>2007</v>
      </c>
      <c r="T6" s="404"/>
      <c r="U6" s="281">
        <v>2008</v>
      </c>
      <c r="V6" s="404"/>
      <c r="W6" s="281">
        <v>2009</v>
      </c>
      <c r="X6" s="404"/>
      <c r="Y6" s="281">
        <v>2010</v>
      </c>
      <c r="Z6" s="404"/>
      <c r="AA6" s="281">
        <v>2011</v>
      </c>
      <c r="AB6" s="404"/>
      <c r="AC6" s="281">
        <v>2012</v>
      </c>
      <c r="AD6" s="404"/>
      <c r="AE6" s="281">
        <v>2013</v>
      </c>
      <c r="AF6" s="404"/>
      <c r="AG6" s="281">
        <v>2014</v>
      </c>
      <c r="AH6" s="404"/>
      <c r="AI6" s="281">
        <v>2015</v>
      </c>
      <c r="AJ6" s="404"/>
      <c r="AK6" s="281">
        <v>2016</v>
      </c>
      <c r="AL6" s="404"/>
      <c r="AM6" s="281">
        <v>2017</v>
      </c>
      <c r="AN6" s="404"/>
      <c r="AO6" s="281">
        <v>2018</v>
      </c>
      <c r="AP6" s="281"/>
      <c r="AQ6" s="281">
        <v>2019</v>
      </c>
      <c r="AR6" s="281"/>
      <c r="AS6" s="281">
        <v>2020</v>
      </c>
      <c r="AT6" s="281"/>
      <c r="AU6" s="281">
        <v>2021</v>
      </c>
      <c r="AV6" s="281"/>
      <c r="AX6" s="63" t="s">
        <v>414</v>
      </c>
      <c r="BA6" s="159"/>
      <c r="BB6" s="159"/>
      <c r="BC6" s="159"/>
    </row>
    <row r="7" spans="2:59" ht="6" customHeight="1">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BE7" s="23"/>
      <c r="BF7" s="159"/>
    </row>
    <row r="8" spans="2:59" ht="6" customHeight="1">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row>
    <row r="9" spans="2:59" ht="10.5" customHeight="1">
      <c r="B9" s="16"/>
      <c r="C9" s="16"/>
      <c r="D9" s="63" t="s">
        <v>415</v>
      </c>
      <c r="E9" s="16"/>
      <c r="F9" s="16"/>
      <c r="G9" s="16"/>
      <c r="H9" s="16"/>
      <c r="I9" s="16"/>
      <c r="J9" s="16"/>
      <c r="K9" s="16"/>
      <c r="L9" s="16"/>
      <c r="M9" s="16"/>
      <c r="N9" s="16"/>
      <c r="O9" s="16"/>
      <c r="P9" s="16"/>
      <c r="Q9" s="16"/>
      <c r="R9" s="16"/>
      <c r="S9" s="16"/>
      <c r="T9" s="16"/>
      <c r="U9" s="16"/>
      <c r="V9" s="16"/>
      <c r="W9" s="16"/>
      <c r="X9" s="16"/>
      <c r="Y9" s="16"/>
      <c r="Z9" s="42"/>
      <c r="AA9" s="16"/>
      <c r="AB9" s="16"/>
      <c r="AC9" s="16"/>
      <c r="AD9" s="16"/>
      <c r="AE9" s="16"/>
      <c r="AF9" s="16"/>
      <c r="AG9" s="16"/>
      <c r="AH9" s="16"/>
      <c r="AI9" s="16"/>
      <c r="AJ9" s="16"/>
      <c r="AK9" s="16"/>
      <c r="AL9" s="16"/>
      <c r="AM9" s="16"/>
      <c r="AN9" s="16"/>
      <c r="AO9" s="16"/>
      <c r="AP9" s="16"/>
      <c r="AQ9" s="16"/>
      <c r="AR9" s="16"/>
      <c r="AS9" s="16"/>
      <c r="AT9" s="16"/>
      <c r="AU9" s="16"/>
      <c r="AV9" s="16"/>
      <c r="AW9" s="16"/>
      <c r="AX9" s="63" t="s">
        <v>416</v>
      </c>
      <c r="BA9" s="159"/>
      <c r="BB9" s="159"/>
      <c r="BC9" s="159"/>
      <c r="BD9" s="159"/>
    </row>
    <row r="10" spans="2:59" ht="10.5" customHeight="1">
      <c r="B10" s="42">
        <v>1</v>
      </c>
      <c r="C10" s="42"/>
      <c r="D10" s="16" t="s">
        <v>113</v>
      </c>
      <c r="E10" s="17" t="s">
        <v>78</v>
      </c>
      <c r="F10" s="23"/>
      <c r="G10" s="17" t="s">
        <v>78</v>
      </c>
      <c r="H10" s="75"/>
      <c r="I10" s="28">
        <v>1925.6982758620691</v>
      </c>
      <c r="J10" s="75"/>
      <c r="K10" s="28">
        <v>1884.25</v>
      </c>
      <c r="L10" s="75"/>
      <c r="M10" s="28">
        <v>2015</v>
      </c>
      <c r="N10" s="75"/>
      <c r="O10" s="28">
        <v>1987.5</v>
      </c>
      <c r="P10" s="75"/>
      <c r="Q10" s="28">
        <v>2150.5</v>
      </c>
      <c r="R10" s="75"/>
      <c r="S10" s="28">
        <v>2547.5</v>
      </c>
      <c r="T10" s="75"/>
      <c r="U10" s="28">
        <v>2616.5</v>
      </c>
      <c r="V10" s="75"/>
      <c r="W10" s="28">
        <v>2701</v>
      </c>
      <c r="X10" s="75"/>
      <c r="Y10" s="28">
        <v>2973</v>
      </c>
      <c r="Z10" s="23"/>
      <c r="AA10" s="28">
        <v>3150</v>
      </c>
      <c r="AB10" s="200"/>
      <c r="AC10" s="28">
        <v>3386</v>
      </c>
      <c r="AD10" s="200"/>
      <c r="AE10" s="28">
        <v>3443</v>
      </c>
      <c r="AF10" s="75"/>
      <c r="AG10" s="75">
        <v>3244</v>
      </c>
      <c r="AH10" s="67"/>
      <c r="AI10" s="28">
        <v>3155</v>
      </c>
      <c r="AJ10" s="78"/>
      <c r="AK10" s="28">
        <v>3395.3</v>
      </c>
      <c r="AL10" s="23"/>
      <c r="AM10" s="28">
        <v>3350</v>
      </c>
      <c r="AN10" s="75"/>
      <c r="AO10" s="28">
        <v>3263.6</v>
      </c>
      <c r="AP10" s="75"/>
      <c r="AQ10" s="28">
        <v>3188.5</v>
      </c>
      <c r="AR10" s="75"/>
      <c r="AS10" s="28">
        <v>3029</v>
      </c>
      <c r="AT10" s="17"/>
      <c r="AU10" s="28">
        <v>3126</v>
      </c>
      <c r="AV10" s="17"/>
      <c r="AW10" s="17"/>
      <c r="AX10" s="16" t="s">
        <v>128</v>
      </c>
      <c r="AY10" s="28"/>
      <c r="AZ10" s="314"/>
      <c r="BA10" s="394"/>
      <c r="BB10" s="314"/>
    </row>
    <row r="11" spans="2:59" ht="10.5" customHeight="1">
      <c r="B11" s="42">
        <v>2</v>
      </c>
      <c r="C11" s="42"/>
      <c r="D11" s="16" t="s">
        <v>114</v>
      </c>
      <c r="E11" s="17" t="s">
        <v>78</v>
      </c>
      <c r="F11" s="23"/>
      <c r="G11" s="17" t="s">
        <v>78</v>
      </c>
      <c r="H11" s="75"/>
      <c r="I11" s="28">
        <v>3654.3017241379312</v>
      </c>
      <c r="J11" s="75"/>
      <c r="K11" s="28">
        <v>3647.25</v>
      </c>
      <c r="L11" s="75"/>
      <c r="M11" s="28">
        <v>3790.5</v>
      </c>
      <c r="N11" s="75"/>
      <c r="O11" s="28">
        <v>3736.5</v>
      </c>
      <c r="P11" s="75"/>
      <c r="Q11" s="28">
        <v>3965</v>
      </c>
      <c r="R11" s="75"/>
      <c r="S11" s="28">
        <v>3818.5</v>
      </c>
      <c r="T11" s="75"/>
      <c r="U11" s="28">
        <v>4184</v>
      </c>
      <c r="V11" s="75"/>
      <c r="W11" s="28">
        <v>4374</v>
      </c>
      <c r="X11" s="75"/>
      <c r="Y11" s="28">
        <v>4686</v>
      </c>
      <c r="Z11" s="23"/>
      <c r="AA11" s="28">
        <v>4831</v>
      </c>
      <c r="AB11" s="200"/>
      <c r="AC11" s="28">
        <v>4690</v>
      </c>
      <c r="AD11" s="200"/>
      <c r="AE11" s="75">
        <v>4997</v>
      </c>
      <c r="AF11" s="75"/>
      <c r="AG11" s="75">
        <v>4967</v>
      </c>
      <c r="AH11" s="67"/>
      <c r="AI11" s="28">
        <v>4934</v>
      </c>
      <c r="AJ11" s="78"/>
      <c r="AK11" s="28">
        <v>5096.9099999999989</v>
      </c>
      <c r="AL11" s="23"/>
      <c r="AM11" s="28">
        <v>5169</v>
      </c>
      <c r="AN11" s="75"/>
      <c r="AO11" s="28">
        <v>5396.1</v>
      </c>
      <c r="AP11" s="75"/>
      <c r="AQ11" s="28">
        <v>5000</v>
      </c>
      <c r="AR11" s="75"/>
      <c r="AS11" s="28">
        <v>4861</v>
      </c>
      <c r="AT11" s="17"/>
      <c r="AU11" s="28">
        <v>4843</v>
      </c>
      <c r="AV11" s="17"/>
      <c r="AW11" s="17"/>
      <c r="AX11" s="16" t="s">
        <v>129</v>
      </c>
      <c r="AY11" s="28"/>
      <c r="AZ11" s="314"/>
      <c r="BA11" s="314"/>
      <c r="BB11" s="314"/>
    </row>
    <row r="12" spans="2:59" ht="10.5" customHeight="1">
      <c r="B12" s="42">
        <v>3</v>
      </c>
      <c r="C12" s="42"/>
      <c r="D12" s="18" t="s">
        <v>231</v>
      </c>
      <c r="E12" s="65">
        <v>5061.5</v>
      </c>
      <c r="F12" s="133"/>
      <c r="G12" s="65">
        <v>5372.5</v>
      </c>
      <c r="H12" s="133"/>
      <c r="I12" s="65">
        <v>5580</v>
      </c>
      <c r="J12" s="133"/>
      <c r="K12" s="65">
        <v>5531.5</v>
      </c>
      <c r="L12" s="133"/>
      <c r="M12" s="65">
        <v>5805.5</v>
      </c>
      <c r="N12" s="133"/>
      <c r="O12" s="65">
        <v>5724</v>
      </c>
      <c r="P12" s="133"/>
      <c r="Q12" s="65">
        <v>6115.5</v>
      </c>
      <c r="R12" s="133"/>
      <c r="S12" s="65">
        <v>6366</v>
      </c>
      <c r="T12" s="133"/>
      <c r="U12" s="65">
        <v>6800.5</v>
      </c>
      <c r="V12" s="133"/>
      <c r="W12" s="65">
        <v>7075</v>
      </c>
      <c r="X12" s="133"/>
      <c r="Y12" s="65">
        <v>7659</v>
      </c>
      <c r="Z12" s="67"/>
      <c r="AA12" s="65">
        <v>7981</v>
      </c>
      <c r="AB12" s="199"/>
      <c r="AC12" s="65">
        <v>8076</v>
      </c>
      <c r="AD12" s="199"/>
      <c r="AE12" s="65">
        <v>8440</v>
      </c>
      <c r="AF12" s="133"/>
      <c r="AG12" s="65">
        <v>8211</v>
      </c>
      <c r="AH12" s="67"/>
      <c r="AI12" s="65">
        <v>8089</v>
      </c>
      <c r="AJ12" s="143"/>
      <c r="AK12" s="65">
        <v>8492.2099999999991</v>
      </c>
      <c r="AL12" s="23"/>
      <c r="AM12" s="65">
        <v>8519</v>
      </c>
      <c r="AN12" s="133"/>
      <c r="AO12" s="65">
        <v>8659.7000000000007</v>
      </c>
      <c r="AP12" s="133"/>
      <c r="AQ12" s="65">
        <v>8188.5</v>
      </c>
      <c r="AR12" s="133"/>
      <c r="AS12" s="65">
        <v>7890</v>
      </c>
      <c r="AT12" s="66"/>
      <c r="AU12" s="65">
        <v>7969</v>
      </c>
      <c r="AV12" s="66"/>
      <c r="AW12" s="66"/>
      <c r="AX12" s="18" t="s">
        <v>84</v>
      </c>
      <c r="AY12" s="65"/>
      <c r="AZ12" s="395"/>
      <c r="BD12" s="28"/>
      <c r="BE12" s="28"/>
      <c r="BG12" s="82"/>
    </row>
    <row r="13" spans="2:59" ht="6" customHeight="1">
      <c r="B13" s="34"/>
      <c r="C13" s="34"/>
      <c r="D13" s="56"/>
      <c r="E13" s="83"/>
      <c r="F13" s="141"/>
      <c r="G13" s="83"/>
      <c r="H13" s="141"/>
      <c r="I13" s="83"/>
      <c r="J13" s="141"/>
      <c r="K13" s="83"/>
      <c r="L13" s="141"/>
      <c r="M13" s="83"/>
      <c r="N13" s="141"/>
      <c r="O13" s="83"/>
      <c r="P13" s="141"/>
      <c r="Q13" s="83"/>
      <c r="R13" s="141"/>
      <c r="S13" s="83"/>
      <c r="T13" s="141"/>
      <c r="U13" s="83"/>
      <c r="V13" s="141"/>
      <c r="W13" s="83"/>
      <c r="X13" s="141"/>
      <c r="Y13" s="83"/>
      <c r="Z13" s="85"/>
      <c r="AA13" s="83"/>
      <c r="AB13" s="141"/>
      <c r="AC13" s="83"/>
      <c r="AD13" s="141"/>
      <c r="AE13" s="83"/>
      <c r="AF13" s="141"/>
      <c r="AG13" s="83"/>
      <c r="AH13" s="141"/>
      <c r="AI13" s="83"/>
      <c r="AJ13" s="141"/>
      <c r="AK13" s="83"/>
      <c r="AL13" s="141"/>
      <c r="AM13" s="83"/>
      <c r="AN13" s="141"/>
      <c r="AO13" s="83"/>
      <c r="AP13" s="141"/>
      <c r="AQ13" s="83"/>
      <c r="AR13" s="141"/>
      <c r="AS13" s="83"/>
      <c r="AT13" s="84"/>
      <c r="AU13" s="83"/>
      <c r="AV13" s="84"/>
      <c r="AW13" s="84"/>
      <c r="AX13" s="56"/>
      <c r="BD13" s="28"/>
      <c r="BE13" s="28"/>
      <c r="BG13" s="82"/>
    </row>
    <row r="14" spans="2:59" ht="6" customHeight="1">
      <c r="B14" s="42"/>
      <c r="C14" s="42"/>
      <c r="D14" s="24"/>
      <c r="E14" s="28"/>
      <c r="F14" s="75"/>
      <c r="G14" s="28"/>
      <c r="H14" s="75"/>
      <c r="I14" s="28"/>
      <c r="J14" s="75"/>
      <c r="K14" s="28"/>
      <c r="L14" s="75"/>
      <c r="M14" s="28"/>
      <c r="N14" s="75"/>
      <c r="O14" s="28"/>
      <c r="P14" s="75"/>
      <c r="Q14" s="28"/>
      <c r="R14" s="75"/>
      <c r="S14" s="28"/>
      <c r="T14" s="75"/>
      <c r="U14" s="28"/>
      <c r="V14" s="75"/>
      <c r="W14" s="28"/>
      <c r="X14" s="75"/>
      <c r="Y14" s="28"/>
      <c r="Z14" s="23"/>
      <c r="AA14" s="28"/>
      <c r="AB14" s="75"/>
      <c r="AC14" s="28"/>
      <c r="AD14" s="75"/>
      <c r="AE14" s="28"/>
      <c r="AF14" s="75"/>
      <c r="AG14" s="28"/>
      <c r="AH14" s="75"/>
      <c r="AI14" s="28"/>
      <c r="AJ14" s="75"/>
      <c r="AK14" s="28"/>
      <c r="AL14" s="75"/>
      <c r="AM14" s="28"/>
      <c r="AN14" s="75"/>
      <c r="AO14" s="28"/>
      <c r="AP14" s="75"/>
      <c r="AQ14" s="28"/>
      <c r="AR14" s="75"/>
      <c r="AS14" s="28"/>
      <c r="AT14" s="17"/>
      <c r="AU14" s="28"/>
      <c r="AV14" s="17"/>
      <c r="AW14" s="17"/>
      <c r="AX14" s="24"/>
      <c r="BD14" s="65"/>
      <c r="BE14" s="65"/>
      <c r="BG14" s="82"/>
    </row>
    <row r="15" spans="2:59" ht="10.5" customHeight="1">
      <c r="B15" s="42"/>
      <c r="C15" s="42"/>
      <c r="D15" s="63" t="s">
        <v>417</v>
      </c>
      <c r="E15" s="28"/>
      <c r="F15" s="75"/>
      <c r="G15" s="28"/>
      <c r="H15" s="75"/>
      <c r="I15" s="28"/>
      <c r="J15" s="75"/>
      <c r="K15" s="28"/>
      <c r="L15" s="75"/>
      <c r="M15" s="28"/>
      <c r="N15" s="75"/>
      <c r="O15" s="28"/>
      <c r="P15" s="75"/>
      <c r="Q15" s="28"/>
      <c r="R15" s="75"/>
      <c r="S15" s="28"/>
      <c r="T15" s="75"/>
      <c r="U15" s="28"/>
      <c r="V15" s="75"/>
      <c r="W15" s="28"/>
      <c r="X15" s="75"/>
      <c r="Y15" s="28"/>
      <c r="Z15" s="23"/>
      <c r="AA15" s="28"/>
      <c r="AB15" s="75"/>
      <c r="AC15" s="28"/>
      <c r="AD15" s="75"/>
      <c r="AE15" s="28"/>
      <c r="AF15" s="75"/>
      <c r="AG15" s="28"/>
      <c r="AH15" s="75"/>
      <c r="AI15" s="28"/>
      <c r="AJ15" s="75"/>
      <c r="AK15" s="28"/>
      <c r="AL15" s="75"/>
      <c r="AM15" s="28"/>
      <c r="AN15" s="75"/>
      <c r="AO15" s="28"/>
      <c r="AP15" s="75"/>
      <c r="AQ15" s="28"/>
      <c r="AR15" s="75"/>
      <c r="AS15" s="28"/>
      <c r="AT15" s="17"/>
      <c r="AU15" s="28"/>
      <c r="AV15" s="17"/>
      <c r="AW15" s="17"/>
      <c r="AX15" s="63" t="s">
        <v>418</v>
      </c>
      <c r="BB15" s="82"/>
    </row>
    <row r="16" spans="2:59" ht="10.5" customHeight="1">
      <c r="B16" s="42">
        <v>4</v>
      </c>
      <c r="C16" s="42"/>
      <c r="D16" s="16" t="s">
        <v>113</v>
      </c>
      <c r="E16" s="17" t="s">
        <v>78</v>
      </c>
      <c r="F16" s="23"/>
      <c r="G16" s="17" t="s">
        <v>78</v>
      </c>
      <c r="H16" s="75"/>
      <c r="I16" s="28">
        <v>248</v>
      </c>
      <c r="J16" s="75"/>
      <c r="K16" s="28">
        <v>239</v>
      </c>
      <c r="L16" s="75"/>
      <c r="M16" s="28">
        <v>268</v>
      </c>
      <c r="N16" s="75"/>
      <c r="O16" s="28">
        <v>197</v>
      </c>
      <c r="P16" s="75"/>
      <c r="Q16" s="28">
        <v>204</v>
      </c>
      <c r="R16" s="75"/>
      <c r="S16" s="28">
        <v>215</v>
      </c>
      <c r="T16" s="75"/>
      <c r="U16" s="28">
        <v>330</v>
      </c>
      <c r="V16" s="75"/>
      <c r="W16" s="28">
        <v>298</v>
      </c>
      <c r="X16" s="75"/>
      <c r="Y16" s="28">
        <v>268</v>
      </c>
      <c r="Z16" s="23"/>
      <c r="AA16" s="28">
        <v>286</v>
      </c>
      <c r="AB16" s="75"/>
      <c r="AC16" s="28">
        <v>320.72028055622661</v>
      </c>
      <c r="AD16" s="75"/>
      <c r="AE16" s="28">
        <v>342</v>
      </c>
      <c r="AF16" s="67"/>
      <c r="AG16" s="75">
        <v>309</v>
      </c>
      <c r="AH16" s="67"/>
      <c r="AI16" s="28">
        <v>297</v>
      </c>
      <c r="AJ16" s="78"/>
      <c r="AK16" s="28">
        <v>315</v>
      </c>
      <c r="AL16" s="75"/>
      <c r="AM16" s="28">
        <v>334</v>
      </c>
      <c r="AN16" s="75"/>
      <c r="AO16" s="28">
        <v>337</v>
      </c>
      <c r="AP16" s="75"/>
      <c r="AQ16" s="28">
        <v>444</v>
      </c>
      <c r="AR16" s="75"/>
      <c r="AS16" s="28">
        <v>489</v>
      </c>
      <c r="AT16" s="17"/>
      <c r="AU16" s="28">
        <v>563</v>
      </c>
      <c r="AV16" s="17"/>
      <c r="AW16" s="17"/>
      <c r="AX16" s="16" t="s">
        <v>128</v>
      </c>
    </row>
    <row r="17" spans="2:52" ht="10.5" customHeight="1">
      <c r="B17" s="42">
        <v>5</v>
      </c>
      <c r="C17" s="42"/>
      <c r="D17" s="16" t="s">
        <v>114</v>
      </c>
      <c r="E17" s="17" t="s">
        <v>78</v>
      </c>
      <c r="F17" s="23"/>
      <c r="G17" s="17" t="s">
        <v>78</v>
      </c>
      <c r="H17" s="16"/>
      <c r="I17" s="28">
        <v>2706</v>
      </c>
      <c r="J17" s="16"/>
      <c r="K17" s="28">
        <v>2658.6666666666665</v>
      </c>
      <c r="L17" s="16"/>
      <c r="M17" s="28">
        <v>2590</v>
      </c>
      <c r="N17" s="16"/>
      <c r="O17" s="28">
        <v>2616</v>
      </c>
      <c r="P17" s="16"/>
      <c r="Q17" s="28">
        <v>2584</v>
      </c>
      <c r="R17" s="16"/>
      <c r="S17" s="28">
        <v>2645.3</v>
      </c>
      <c r="T17" s="16"/>
      <c r="U17" s="28">
        <v>2743</v>
      </c>
      <c r="V17" s="16"/>
      <c r="W17" s="28">
        <v>2628</v>
      </c>
      <c r="X17" s="16"/>
      <c r="Y17" s="28">
        <v>2493</v>
      </c>
      <c r="Z17" s="23"/>
      <c r="AA17" s="28">
        <v>2507</v>
      </c>
      <c r="AB17" s="75"/>
      <c r="AC17" s="28">
        <v>2347.2028055622659</v>
      </c>
      <c r="AD17" s="75"/>
      <c r="AE17" s="28">
        <v>2148</v>
      </c>
      <c r="AF17" s="67"/>
      <c r="AG17" s="75">
        <v>2102</v>
      </c>
      <c r="AH17" s="67"/>
      <c r="AI17" s="28">
        <v>1982</v>
      </c>
      <c r="AJ17" s="78"/>
      <c r="AK17" s="28">
        <v>2053</v>
      </c>
      <c r="AL17" s="75"/>
      <c r="AM17" s="28">
        <v>2063</v>
      </c>
      <c r="AN17" s="75"/>
      <c r="AO17" s="28">
        <v>1965</v>
      </c>
      <c r="AP17" s="75"/>
      <c r="AQ17" s="28">
        <v>1958</v>
      </c>
      <c r="AR17" s="75"/>
      <c r="AS17" s="28">
        <v>2082</v>
      </c>
      <c r="AT17" s="17"/>
      <c r="AU17" s="28">
        <v>2113</v>
      </c>
      <c r="AV17" s="17"/>
      <c r="AW17" s="17"/>
      <c r="AX17" s="16" t="s">
        <v>129</v>
      </c>
    </row>
    <row r="18" spans="2:52" ht="10.5" customHeight="1">
      <c r="B18" s="42">
        <v>6</v>
      </c>
      <c r="C18" s="42"/>
      <c r="D18" s="18" t="s">
        <v>231</v>
      </c>
      <c r="E18" s="65">
        <v>2668</v>
      </c>
      <c r="F18" s="133"/>
      <c r="G18" s="65">
        <v>2967</v>
      </c>
      <c r="H18" s="133"/>
      <c r="I18" s="65">
        <v>2954</v>
      </c>
      <c r="J18" s="133"/>
      <c r="K18" s="65">
        <v>2897.6666666666665</v>
      </c>
      <c r="L18" s="133"/>
      <c r="M18" s="65">
        <v>2858</v>
      </c>
      <c r="N18" s="133"/>
      <c r="O18" s="65">
        <v>2813</v>
      </c>
      <c r="P18" s="133"/>
      <c r="Q18" s="65">
        <v>2788</v>
      </c>
      <c r="R18" s="133"/>
      <c r="S18" s="65">
        <v>2860.3</v>
      </c>
      <c r="T18" s="133"/>
      <c r="U18" s="65">
        <v>3073</v>
      </c>
      <c r="V18" s="133"/>
      <c r="W18" s="65">
        <v>2926</v>
      </c>
      <c r="X18" s="133"/>
      <c r="Y18" s="65">
        <v>2761</v>
      </c>
      <c r="Z18" s="67"/>
      <c r="AA18" s="65">
        <v>2793</v>
      </c>
      <c r="AB18" s="133"/>
      <c r="AC18" s="65">
        <v>2667.9230861184924</v>
      </c>
      <c r="AD18" s="133"/>
      <c r="AE18" s="65">
        <v>2490</v>
      </c>
      <c r="AF18" s="67"/>
      <c r="AG18" s="65">
        <v>2411</v>
      </c>
      <c r="AH18" s="67"/>
      <c r="AI18" s="65">
        <v>2279</v>
      </c>
      <c r="AJ18" s="143"/>
      <c r="AK18" s="65">
        <v>2368</v>
      </c>
      <c r="AL18" s="133"/>
      <c r="AM18" s="65">
        <v>2397</v>
      </c>
      <c r="AN18" s="133"/>
      <c r="AO18" s="65">
        <v>2302</v>
      </c>
      <c r="AP18" s="133"/>
      <c r="AQ18" s="65">
        <v>2402</v>
      </c>
      <c r="AR18" s="133"/>
      <c r="AS18" s="65">
        <v>2571</v>
      </c>
      <c r="AT18" s="66"/>
      <c r="AU18" s="65">
        <v>2676</v>
      </c>
      <c r="AV18" s="66"/>
      <c r="AW18" s="66"/>
      <c r="AX18" s="18" t="s">
        <v>84</v>
      </c>
    </row>
    <row r="19" spans="2:52" ht="6" customHeight="1">
      <c r="B19" s="34"/>
      <c r="C19" s="34"/>
      <c r="D19" s="56"/>
      <c r="E19" s="83"/>
      <c r="F19" s="141"/>
      <c r="G19" s="83"/>
      <c r="H19" s="141"/>
      <c r="I19" s="83"/>
      <c r="J19" s="141"/>
      <c r="K19" s="83"/>
      <c r="L19" s="141"/>
      <c r="M19" s="83"/>
      <c r="N19" s="141"/>
      <c r="O19" s="83"/>
      <c r="P19" s="141"/>
      <c r="Q19" s="83"/>
      <c r="R19" s="141"/>
      <c r="S19" s="83"/>
      <c r="T19" s="141"/>
      <c r="U19" s="83"/>
      <c r="V19" s="141"/>
      <c r="W19" s="83"/>
      <c r="X19" s="141"/>
      <c r="Y19" s="83"/>
      <c r="Z19" s="85"/>
      <c r="AA19" s="83"/>
      <c r="AB19" s="141"/>
      <c r="AC19" s="83"/>
      <c r="AD19" s="141"/>
      <c r="AE19" s="83"/>
      <c r="AF19" s="141"/>
      <c r="AG19" s="83"/>
      <c r="AH19" s="141"/>
      <c r="AI19" s="83"/>
      <c r="AJ19" s="141"/>
      <c r="AK19" s="83"/>
      <c r="AL19" s="141"/>
      <c r="AM19" s="83"/>
      <c r="AN19" s="141"/>
      <c r="AO19" s="83"/>
      <c r="AP19" s="141"/>
      <c r="AQ19" s="83"/>
      <c r="AR19" s="141"/>
      <c r="AS19" s="83"/>
      <c r="AT19" s="84"/>
      <c r="AU19" s="83"/>
      <c r="AV19" s="84"/>
      <c r="AW19" s="84"/>
      <c r="AX19" s="56"/>
    </row>
    <row r="20" spans="2:52" ht="6" customHeight="1">
      <c r="B20" s="42"/>
      <c r="C20" s="42"/>
      <c r="D20" s="16"/>
      <c r="E20" s="28"/>
      <c r="F20" s="75"/>
      <c r="G20" s="28"/>
      <c r="H20" s="75"/>
      <c r="I20" s="28"/>
      <c r="J20" s="75"/>
      <c r="K20" s="28"/>
      <c r="L20" s="75"/>
      <c r="M20" s="28"/>
      <c r="N20" s="75"/>
      <c r="O20" s="28"/>
      <c r="P20" s="75"/>
      <c r="Q20" s="28"/>
      <c r="R20" s="75"/>
      <c r="S20" s="28"/>
      <c r="T20" s="75"/>
      <c r="U20" s="28"/>
      <c r="V20" s="75"/>
      <c r="W20" s="28"/>
      <c r="X20" s="75"/>
      <c r="Y20" s="28"/>
      <c r="Z20" s="23"/>
      <c r="AA20" s="28"/>
      <c r="AB20" s="75"/>
      <c r="AC20" s="28"/>
      <c r="AD20" s="75"/>
      <c r="AE20" s="28"/>
      <c r="AF20" s="75"/>
      <c r="AG20" s="28"/>
      <c r="AH20" s="75"/>
      <c r="AI20" s="28"/>
      <c r="AJ20" s="75"/>
      <c r="AK20" s="28"/>
      <c r="AL20" s="75"/>
      <c r="AM20" s="28"/>
      <c r="AN20" s="75"/>
      <c r="AO20" s="28"/>
      <c r="AP20" s="75"/>
      <c r="AQ20" s="28"/>
      <c r="AR20" s="75"/>
      <c r="AS20" s="28"/>
      <c r="AT20" s="17"/>
      <c r="AU20" s="28"/>
      <c r="AV20" s="17"/>
      <c r="AW20" s="17"/>
      <c r="AX20" s="16"/>
    </row>
    <row r="21" spans="2:52" ht="10.5" customHeight="1">
      <c r="B21" s="42"/>
      <c r="C21" s="42"/>
      <c r="D21" s="63" t="s">
        <v>272</v>
      </c>
      <c r="E21" s="28"/>
      <c r="F21" s="75"/>
      <c r="G21" s="28"/>
      <c r="H21" s="75"/>
      <c r="I21" s="28"/>
      <c r="J21" s="75"/>
      <c r="K21" s="28"/>
      <c r="L21" s="75"/>
      <c r="M21" s="28"/>
      <c r="N21" s="75"/>
      <c r="O21" s="28"/>
      <c r="P21" s="75"/>
      <c r="Q21" s="28"/>
      <c r="R21" s="75"/>
      <c r="S21" s="28"/>
      <c r="T21" s="75"/>
      <c r="U21" s="28"/>
      <c r="V21" s="75"/>
      <c r="W21" s="28"/>
      <c r="X21" s="75"/>
      <c r="Y21" s="28"/>
      <c r="Z21" s="23"/>
      <c r="AA21" s="28"/>
      <c r="AB21" s="75"/>
      <c r="AC21" s="28"/>
      <c r="AD21" s="75"/>
      <c r="AE21" s="28"/>
      <c r="AF21" s="75"/>
      <c r="AG21" s="28"/>
      <c r="AH21" s="75"/>
      <c r="AI21" s="28"/>
      <c r="AJ21" s="75"/>
      <c r="AK21" s="28"/>
      <c r="AL21" s="75"/>
      <c r="AM21" s="28"/>
      <c r="AN21" s="75"/>
      <c r="AO21" s="28"/>
      <c r="AP21" s="75"/>
      <c r="AQ21" s="28"/>
      <c r="AR21" s="75"/>
      <c r="AS21" s="28"/>
      <c r="AT21" s="17"/>
      <c r="AU21" s="28"/>
      <c r="AV21" s="17"/>
      <c r="AW21" s="17"/>
      <c r="AX21" s="63" t="s">
        <v>273</v>
      </c>
    </row>
    <row r="22" spans="2:52" ht="10.5" customHeight="1">
      <c r="B22" s="42">
        <v>7</v>
      </c>
      <c r="C22" s="42"/>
      <c r="D22" s="16" t="s">
        <v>113</v>
      </c>
      <c r="E22" s="17" t="s">
        <v>78</v>
      </c>
      <c r="F22" s="23"/>
      <c r="G22" s="17" t="s">
        <v>78</v>
      </c>
      <c r="H22" s="75"/>
      <c r="I22" s="28">
        <v>2173.6982758620688</v>
      </c>
      <c r="J22" s="75"/>
      <c r="K22" s="28">
        <v>2123.25</v>
      </c>
      <c r="L22" s="75"/>
      <c r="M22" s="28">
        <v>2283</v>
      </c>
      <c r="N22" s="75"/>
      <c r="O22" s="28">
        <v>2184.5</v>
      </c>
      <c r="P22" s="75"/>
      <c r="Q22" s="28">
        <v>2354.5</v>
      </c>
      <c r="R22" s="75"/>
      <c r="S22" s="28">
        <v>2762.5</v>
      </c>
      <c r="T22" s="75"/>
      <c r="U22" s="28">
        <v>2946.5</v>
      </c>
      <c r="V22" s="75"/>
      <c r="W22" s="28">
        <v>2999</v>
      </c>
      <c r="X22" s="75"/>
      <c r="Y22" s="28">
        <v>3241</v>
      </c>
      <c r="Z22" s="23"/>
      <c r="AA22" s="28">
        <v>3436</v>
      </c>
      <c r="AB22" s="200"/>
      <c r="AC22" s="28">
        <v>3706.7202805562265</v>
      </c>
      <c r="AD22" s="200"/>
      <c r="AE22" s="28">
        <v>3785</v>
      </c>
      <c r="AF22" s="67"/>
      <c r="AG22" s="28">
        <v>3553</v>
      </c>
      <c r="AH22" s="67"/>
      <c r="AI22" s="28">
        <v>3452</v>
      </c>
      <c r="AJ22" s="78"/>
      <c r="AK22" s="28">
        <v>3710.3</v>
      </c>
      <c r="AL22" s="23"/>
      <c r="AM22" s="28">
        <v>3684</v>
      </c>
      <c r="AN22" s="75"/>
      <c r="AO22" s="28">
        <v>3600.6</v>
      </c>
      <c r="AP22" s="75"/>
      <c r="AQ22" s="28">
        <v>3632.5</v>
      </c>
      <c r="AR22" s="75"/>
      <c r="AS22" s="28">
        <f>AS10+AS16</f>
        <v>3518</v>
      </c>
      <c r="AT22" s="17"/>
      <c r="AU22" s="28">
        <v>3689</v>
      </c>
      <c r="AV22" s="17"/>
      <c r="AW22" s="17"/>
      <c r="AX22" s="16" t="s">
        <v>128</v>
      </c>
    </row>
    <row r="23" spans="2:52" ht="10.5" customHeight="1">
      <c r="B23" s="42">
        <v>8</v>
      </c>
      <c r="C23" s="42"/>
      <c r="D23" s="16" t="s">
        <v>114</v>
      </c>
      <c r="E23" s="17" t="s">
        <v>78</v>
      </c>
      <c r="F23" s="23"/>
      <c r="G23" s="17" t="s">
        <v>78</v>
      </c>
      <c r="H23" s="75"/>
      <c r="I23" s="28">
        <v>6360.3017241379312</v>
      </c>
      <c r="J23" s="75"/>
      <c r="K23" s="28">
        <v>6305.9166666666661</v>
      </c>
      <c r="L23" s="75"/>
      <c r="M23" s="28">
        <v>6380.5</v>
      </c>
      <c r="N23" s="75"/>
      <c r="O23" s="28">
        <v>6352.5</v>
      </c>
      <c r="P23" s="75"/>
      <c r="Q23" s="28">
        <v>6549</v>
      </c>
      <c r="R23" s="75"/>
      <c r="S23" s="28">
        <v>6463.8</v>
      </c>
      <c r="T23" s="75"/>
      <c r="U23" s="28">
        <v>6927</v>
      </c>
      <c r="V23" s="75"/>
      <c r="W23" s="28">
        <v>7002</v>
      </c>
      <c r="X23" s="75"/>
      <c r="Y23" s="28">
        <v>7179</v>
      </c>
      <c r="Z23" s="23"/>
      <c r="AA23" s="28">
        <v>7338</v>
      </c>
      <c r="AB23" s="200"/>
      <c r="AC23" s="28">
        <v>7037.2797194437735</v>
      </c>
      <c r="AD23" s="200"/>
      <c r="AE23" s="28">
        <v>7145</v>
      </c>
      <c r="AF23" s="67"/>
      <c r="AG23" s="28">
        <v>7069</v>
      </c>
      <c r="AH23" s="67"/>
      <c r="AI23" s="28">
        <v>6916</v>
      </c>
      <c r="AJ23" s="78"/>
      <c r="AK23" s="28">
        <v>7149.9099999999989</v>
      </c>
      <c r="AL23" s="23"/>
      <c r="AM23" s="28">
        <v>7232</v>
      </c>
      <c r="AN23" s="75"/>
      <c r="AO23" s="28">
        <v>7361.1</v>
      </c>
      <c r="AP23" s="75"/>
      <c r="AQ23" s="28">
        <v>6958</v>
      </c>
      <c r="AR23" s="75"/>
      <c r="AS23" s="28">
        <f t="shared" ref="AS23:AS24" si="0">AS11+AS17</f>
        <v>6943</v>
      </c>
      <c r="AT23" s="17"/>
      <c r="AU23" s="28">
        <v>6956</v>
      </c>
      <c r="AV23" s="17"/>
      <c r="AW23" s="17"/>
      <c r="AX23" s="16" t="s">
        <v>129</v>
      </c>
    </row>
    <row r="24" spans="2:52" ht="10.5" customHeight="1">
      <c r="B24" s="42">
        <v>9</v>
      </c>
      <c r="C24" s="42"/>
      <c r="D24" s="18" t="s">
        <v>68</v>
      </c>
      <c r="E24" s="65">
        <v>7729.5</v>
      </c>
      <c r="F24" s="133"/>
      <c r="G24" s="65">
        <v>8339.5</v>
      </c>
      <c r="H24" s="133"/>
      <c r="I24" s="65">
        <v>8534</v>
      </c>
      <c r="J24" s="133"/>
      <c r="K24" s="65">
        <v>8429.1666666666661</v>
      </c>
      <c r="L24" s="133"/>
      <c r="M24" s="65">
        <v>8663.5</v>
      </c>
      <c r="N24" s="133"/>
      <c r="O24" s="65">
        <v>8537</v>
      </c>
      <c r="P24" s="133"/>
      <c r="Q24" s="65">
        <v>8903.5</v>
      </c>
      <c r="R24" s="133"/>
      <c r="S24" s="65">
        <v>9226.2999999999993</v>
      </c>
      <c r="T24" s="133"/>
      <c r="U24" s="65">
        <v>9873.5</v>
      </c>
      <c r="V24" s="133"/>
      <c r="W24" s="65">
        <v>10001</v>
      </c>
      <c r="X24" s="133"/>
      <c r="Y24" s="65">
        <v>10420</v>
      </c>
      <c r="Z24" s="67"/>
      <c r="AA24" s="65">
        <v>10774</v>
      </c>
      <c r="AB24" s="199"/>
      <c r="AC24" s="65">
        <v>10744</v>
      </c>
      <c r="AD24" s="199"/>
      <c r="AE24" s="65">
        <v>10930</v>
      </c>
      <c r="AF24" s="67"/>
      <c r="AG24" s="65">
        <v>10622</v>
      </c>
      <c r="AH24" s="67"/>
      <c r="AI24" s="65">
        <v>10368</v>
      </c>
      <c r="AJ24" s="143"/>
      <c r="AK24" s="65">
        <v>10860.21</v>
      </c>
      <c r="AL24" s="23"/>
      <c r="AM24" s="65">
        <v>10916</v>
      </c>
      <c r="AN24" s="133"/>
      <c r="AO24" s="65">
        <v>10961.7</v>
      </c>
      <c r="AP24" s="133"/>
      <c r="AQ24" s="65">
        <v>10590.5</v>
      </c>
      <c r="AR24" s="133"/>
      <c r="AS24" s="65">
        <f t="shared" si="0"/>
        <v>10461</v>
      </c>
      <c r="AT24" s="66"/>
      <c r="AU24" s="65">
        <v>10645</v>
      </c>
      <c r="AV24" s="66"/>
      <c r="AW24" s="66"/>
      <c r="AX24" s="18" t="s">
        <v>274</v>
      </c>
      <c r="AZ24" s="82"/>
    </row>
    <row r="25" spans="2:52" ht="6" customHeight="1">
      <c r="B25" s="80"/>
      <c r="C25" s="80"/>
      <c r="D25" s="46"/>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46"/>
    </row>
    <row r="26" spans="2:52" ht="6" customHeight="1">
      <c r="B26" s="42"/>
      <c r="C26" s="42"/>
      <c r="D26" s="24"/>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24"/>
    </row>
    <row r="27" spans="2:52" ht="19.5" customHeight="1">
      <c r="B27" s="42"/>
      <c r="C27" s="42"/>
      <c r="D27" s="24"/>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75"/>
      <c r="AL27" s="17"/>
      <c r="AM27" s="75"/>
      <c r="AN27" s="17"/>
      <c r="AO27" s="75"/>
      <c r="AP27" s="17"/>
      <c r="AQ27" s="17"/>
      <c r="AR27" s="17"/>
      <c r="AS27" s="17"/>
      <c r="AT27" s="17"/>
      <c r="AU27" s="17"/>
      <c r="AV27" s="17"/>
      <c r="AW27" s="17"/>
      <c r="AX27" s="24"/>
    </row>
    <row r="28" spans="2:52" ht="19.5" customHeight="1">
      <c r="B28" s="42"/>
      <c r="C28" s="42"/>
      <c r="D28" s="24"/>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75"/>
      <c r="AL28" s="17"/>
      <c r="AM28" s="75"/>
      <c r="AN28" s="17"/>
      <c r="AO28" s="75"/>
      <c r="AP28" s="17"/>
      <c r="AQ28" s="75"/>
      <c r="AR28" s="17"/>
      <c r="AS28" s="75"/>
      <c r="AT28" s="17"/>
      <c r="AU28" s="75"/>
      <c r="AV28" s="17"/>
      <c r="AW28" s="17"/>
      <c r="AX28" s="24"/>
    </row>
    <row r="29" spans="2:52" ht="19.5" customHeight="1">
      <c r="B29" s="42"/>
      <c r="C29" s="42"/>
      <c r="D29" s="24"/>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75"/>
      <c r="AL29" s="17"/>
      <c r="AM29" s="75"/>
      <c r="AN29" s="17"/>
      <c r="AO29" s="75"/>
      <c r="AP29" s="17"/>
      <c r="AQ29" s="17"/>
      <c r="AR29" s="17"/>
      <c r="AS29" s="17"/>
      <c r="AT29" s="17"/>
      <c r="AU29" s="17"/>
      <c r="AV29" s="17"/>
      <c r="AW29" s="17"/>
      <c r="AX29" s="24"/>
    </row>
    <row r="30" spans="2:52">
      <c r="B30" s="10" t="s">
        <v>1100</v>
      </c>
    </row>
    <row r="31" spans="2:52">
      <c r="B31" s="156" t="s">
        <v>1101</v>
      </c>
    </row>
    <row r="32" spans="2:52" ht="6" customHeight="1">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row>
    <row r="33" spans="2:52" ht="6" customHeight="1"/>
    <row r="34" spans="2:52" ht="14.25" customHeight="1">
      <c r="B34" s="523" t="s">
        <v>266</v>
      </c>
      <c r="C34" s="523"/>
      <c r="D34" s="523"/>
      <c r="E34" s="281">
        <v>2000</v>
      </c>
      <c r="F34" s="404"/>
      <c r="G34" s="281">
        <v>2001</v>
      </c>
      <c r="H34" s="404"/>
      <c r="I34" s="281">
        <v>2002</v>
      </c>
      <c r="J34" s="404"/>
      <c r="K34" s="281">
        <v>2003</v>
      </c>
      <c r="L34" s="404"/>
      <c r="M34" s="281">
        <v>2004</v>
      </c>
      <c r="N34" s="404"/>
      <c r="O34" s="281">
        <v>2005</v>
      </c>
      <c r="P34" s="404"/>
      <c r="Q34" s="281">
        <v>2006</v>
      </c>
      <c r="R34" s="404"/>
      <c r="S34" s="281">
        <v>2007</v>
      </c>
      <c r="T34" s="404"/>
      <c r="U34" s="281">
        <v>2008</v>
      </c>
      <c r="V34" s="404"/>
      <c r="W34" s="281">
        <v>2009</v>
      </c>
      <c r="X34" s="404"/>
      <c r="Y34" s="281">
        <v>2010</v>
      </c>
      <c r="Z34" s="404"/>
      <c r="AA34" s="281">
        <v>2011</v>
      </c>
      <c r="AB34" s="404"/>
      <c r="AC34" s="281">
        <v>2012</v>
      </c>
      <c r="AD34" s="404"/>
      <c r="AE34" s="281">
        <v>2013</v>
      </c>
      <c r="AF34" s="404"/>
      <c r="AG34" s="281">
        <v>2014</v>
      </c>
      <c r="AH34" s="404"/>
      <c r="AI34" s="281">
        <v>2015</v>
      </c>
      <c r="AJ34" s="404"/>
      <c r="AK34" s="281">
        <v>2016</v>
      </c>
      <c r="AL34" s="404"/>
      <c r="AM34" s="281">
        <v>2017</v>
      </c>
      <c r="AN34" s="404"/>
      <c r="AO34" s="281">
        <v>2018</v>
      </c>
      <c r="AP34" s="281"/>
      <c r="AQ34" s="281">
        <v>2019</v>
      </c>
      <c r="AR34" s="281"/>
      <c r="AS34" s="281">
        <v>2020</v>
      </c>
      <c r="AT34" s="281"/>
      <c r="AU34" s="281">
        <v>2021</v>
      </c>
      <c r="AV34" s="281"/>
      <c r="AX34" s="63" t="s">
        <v>414</v>
      </c>
      <c r="AY34" s="63"/>
    </row>
    <row r="35" spans="2:52" ht="6" customHeight="1">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row>
    <row r="36" spans="2:52" ht="6" customHeight="1">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row>
    <row r="37" spans="2:52" ht="12" customHeight="1">
      <c r="B37" s="42"/>
      <c r="C37" s="42"/>
      <c r="D37" s="63" t="s">
        <v>415</v>
      </c>
      <c r="AB37" s="68"/>
      <c r="AC37" s="68"/>
      <c r="AD37" s="68"/>
      <c r="AF37" s="68"/>
      <c r="AH37" s="68"/>
      <c r="AJ37" s="68"/>
      <c r="AL37" s="68"/>
      <c r="AN37" s="68"/>
      <c r="AP37" s="68"/>
      <c r="AR37" s="68"/>
      <c r="AS37" s="17"/>
      <c r="AT37" s="17"/>
      <c r="AU37" s="17"/>
      <c r="AV37" s="17"/>
      <c r="AW37" s="17"/>
      <c r="AX37" s="63" t="s">
        <v>416</v>
      </c>
    </row>
    <row r="38" spans="2:52" ht="10.5" customHeight="1">
      <c r="B38" s="42">
        <v>1</v>
      </c>
      <c r="C38" s="42"/>
      <c r="D38" s="16" t="s">
        <v>113</v>
      </c>
      <c r="E38" s="17" t="s">
        <v>78</v>
      </c>
      <c r="F38" s="23"/>
      <c r="G38" s="17" t="s">
        <v>78</v>
      </c>
      <c r="H38" s="75"/>
      <c r="I38" s="28">
        <v>269.5</v>
      </c>
      <c r="J38" s="75"/>
      <c r="K38" s="28">
        <v>288</v>
      </c>
      <c r="L38" s="75"/>
      <c r="M38" s="28">
        <v>257</v>
      </c>
      <c r="N38" s="75"/>
      <c r="O38" s="28">
        <v>294</v>
      </c>
      <c r="P38" s="75"/>
      <c r="Q38" s="28">
        <v>285</v>
      </c>
      <c r="R38" s="75"/>
      <c r="S38" s="28">
        <v>272</v>
      </c>
      <c r="T38" s="75"/>
      <c r="U38" s="28">
        <v>289</v>
      </c>
      <c r="V38" s="75"/>
      <c r="W38" s="28">
        <v>316</v>
      </c>
      <c r="X38" s="68"/>
      <c r="Y38" s="28">
        <v>315.53074433656957</v>
      </c>
      <c r="Z38" s="23"/>
      <c r="AA38" s="28">
        <v>359.873786407767</v>
      </c>
      <c r="AB38" s="68"/>
      <c r="AC38" s="28">
        <v>368</v>
      </c>
      <c r="AD38" s="68"/>
      <c r="AE38" s="28">
        <v>401</v>
      </c>
      <c r="AF38" s="68"/>
      <c r="AG38" s="28">
        <v>383</v>
      </c>
      <c r="AH38" s="68"/>
      <c r="AI38" s="28">
        <v>369</v>
      </c>
      <c r="AJ38" s="68"/>
      <c r="AK38" s="28">
        <v>391</v>
      </c>
      <c r="AL38" s="68"/>
      <c r="AM38" s="28">
        <v>402</v>
      </c>
      <c r="AN38" s="68"/>
      <c r="AO38" s="28">
        <v>375</v>
      </c>
      <c r="AP38" s="68"/>
      <c r="AQ38" s="28">
        <v>382</v>
      </c>
      <c r="AR38" s="68"/>
      <c r="AS38" s="28">
        <v>406</v>
      </c>
      <c r="AT38" s="17"/>
      <c r="AU38" s="28">
        <v>416</v>
      </c>
      <c r="AV38" s="17"/>
      <c r="AW38" s="17"/>
      <c r="AX38" s="16" t="s">
        <v>128</v>
      </c>
    </row>
    <row r="39" spans="2:52" ht="10.5" customHeight="1">
      <c r="B39" s="42">
        <v>2</v>
      </c>
      <c r="C39" s="42"/>
      <c r="D39" s="16" t="s">
        <v>114</v>
      </c>
      <c r="E39" s="17" t="s">
        <v>78</v>
      </c>
      <c r="F39" s="23"/>
      <c r="G39" s="17" t="s">
        <v>78</v>
      </c>
      <c r="H39" s="28"/>
      <c r="I39" s="28">
        <v>764</v>
      </c>
      <c r="J39" s="28"/>
      <c r="K39" s="28">
        <v>806</v>
      </c>
      <c r="L39" s="28"/>
      <c r="M39" s="28">
        <v>830</v>
      </c>
      <c r="N39" s="28"/>
      <c r="O39" s="28">
        <v>880</v>
      </c>
      <c r="P39" s="28"/>
      <c r="Q39" s="28">
        <v>878</v>
      </c>
      <c r="R39" s="28"/>
      <c r="S39" s="28">
        <v>840</v>
      </c>
      <c r="T39" s="28"/>
      <c r="U39" s="28">
        <v>894</v>
      </c>
      <c r="V39" s="28"/>
      <c r="W39" s="28">
        <v>885</v>
      </c>
      <c r="X39" s="28"/>
      <c r="Y39" s="28">
        <v>915.46925566343043</v>
      </c>
      <c r="Z39" s="23"/>
      <c r="AA39" s="28">
        <v>1027.1262135922329</v>
      </c>
      <c r="AB39" s="68"/>
      <c r="AC39" s="28">
        <v>1039</v>
      </c>
      <c r="AD39" s="68"/>
      <c r="AE39" s="28">
        <v>1105</v>
      </c>
      <c r="AF39" s="68"/>
      <c r="AG39" s="28">
        <f>AG40-AG38</f>
        <v>1064</v>
      </c>
      <c r="AH39" s="68"/>
      <c r="AI39" s="28">
        <v>1105</v>
      </c>
      <c r="AJ39" s="68"/>
      <c r="AK39" s="28">
        <v>1081</v>
      </c>
      <c r="AL39" s="68"/>
      <c r="AM39" s="28">
        <v>1007</v>
      </c>
      <c r="AN39" s="68"/>
      <c r="AO39" s="28">
        <v>1103</v>
      </c>
      <c r="AP39" s="68"/>
      <c r="AQ39" s="28">
        <v>1093</v>
      </c>
      <c r="AR39" s="68"/>
      <c r="AS39" s="28">
        <v>1182</v>
      </c>
      <c r="AT39" s="17"/>
      <c r="AU39" s="28">
        <v>1117</v>
      </c>
      <c r="AV39" s="17"/>
      <c r="AW39" s="17"/>
      <c r="AX39" s="16" t="s">
        <v>129</v>
      </c>
    </row>
    <row r="40" spans="2:52" ht="10.5" customHeight="1">
      <c r="B40" s="42">
        <v>3</v>
      </c>
      <c r="C40" s="42"/>
      <c r="D40" s="18" t="s">
        <v>231</v>
      </c>
      <c r="E40" s="65">
        <v>1062.5</v>
      </c>
      <c r="F40" s="133"/>
      <c r="G40" s="65">
        <v>1062.5</v>
      </c>
      <c r="H40" s="133"/>
      <c r="I40" s="65">
        <v>1033.5</v>
      </c>
      <c r="J40" s="133"/>
      <c r="K40" s="65">
        <v>1094</v>
      </c>
      <c r="L40" s="133"/>
      <c r="M40" s="65">
        <v>1087</v>
      </c>
      <c r="N40" s="133"/>
      <c r="O40" s="65">
        <v>1174</v>
      </c>
      <c r="P40" s="133"/>
      <c r="Q40" s="65">
        <v>1163</v>
      </c>
      <c r="R40" s="133"/>
      <c r="S40" s="65">
        <v>1112</v>
      </c>
      <c r="T40" s="133"/>
      <c r="U40" s="65">
        <v>1183</v>
      </c>
      <c r="V40" s="133"/>
      <c r="W40" s="65">
        <v>1201</v>
      </c>
      <c r="X40" s="133"/>
      <c r="Y40" s="65">
        <v>1231</v>
      </c>
      <c r="Z40" s="67"/>
      <c r="AA40" s="65">
        <v>1387</v>
      </c>
      <c r="AB40" s="76"/>
      <c r="AC40" s="65">
        <v>1407</v>
      </c>
      <c r="AD40" s="76"/>
      <c r="AE40" s="65">
        <v>1506</v>
      </c>
      <c r="AF40" s="76"/>
      <c r="AG40" s="65">
        <v>1447</v>
      </c>
      <c r="AH40" s="76"/>
      <c r="AI40" s="65">
        <v>1474</v>
      </c>
      <c r="AJ40" s="76"/>
      <c r="AK40" s="65">
        <v>1472</v>
      </c>
      <c r="AL40" s="76"/>
      <c r="AM40" s="65">
        <v>1409</v>
      </c>
      <c r="AN40" s="76"/>
      <c r="AO40" s="65">
        <v>1478</v>
      </c>
      <c r="AP40" s="76"/>
      <c r="AQ40" s="65">
        <v>1475</v>
      </c>
      <c r="AR40" s="76"/>
      <c r="AS40" s="65">
        <v>1588</v>
      </c>
      <c r="AT40" s="66"/>
      <c r="AU40" s="65">
        <v>1533</v>
      </c>
      <c r="AV40" s="66"/>
      <c r="AW40" s="66"/>
      <c r="AX40" s="18" t="s">
        <v>84</v>
      </c>
      <c r="AZ40" s="82"/>
    </row>
    <row r="41" spans="2:52" ht="6" customHeight="1">
      <c r="B41" s="80"/>
      <c r="C41" s="80"/>
      <c r="D41" s="4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46"/>
    </row>
    <row r="42" spans="2:52" ht="6.6" customHeight="1"/>
    <row r="43" spans="2:52" ht="19.5" customHeight="1"/>
    <row r="44" spans="2:52" ht="19.5" customHeight="1">
      <c r="B44" s="53"/>
      <c r="AX44" s="28"/>
    </row>
    <row r="45" spans="2:52" ht="19.5" customHeight="1">
      <c r="B45" s="53"/>
      <c r="AX45" s="28"/>
    </row>
    <row r="46" spans="2:52">
      <c r="B46" s="10" t="s">
        <v>1102</v>
      </c>
      <c r="AX46" s="65"/>
    </row>
    <row r="47" spans="2:52">
      <c r="B47" s="156" t="s">
        <v>1107</v>
      </c>
    </row>
    <row r="48" spans="2:52" ht="6.6" customHeight="1">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row>
    <row r="49" spans="2:51" ht="6.6" customHeight="1"/>
    <row r="50" spans="2:51" ht="14.25" customHeight="1">
      <c r="B50" s="523" t="s">
        <v>266</v>
      </c>
      <c r="C50" s="523"/>
      <c r="D50" s="523"/>
      <c r="E50" s="281">
        <v>2000</v>
      </c>
      <c r="F50" s="404"/>
      <c r="G50" s="281">
        <v>2001</v>
      </c>
      <c r="H50" s="404"/>
      <c r="I50" s="281">
        <v>2002</v>
      </c>
      <c r="J50" s="404"/>
      <c r="K50" s="281">
        <v>2003</v>
      </c>
      <c r="L50" s="404"/>
      <c r="M50" s="281">
        <v>2004</v>
      </c>
      <c r="N50" s="404"/>
      <c r="O50" s="281">
        <v>2005</v>
      </c>
      <c r="P50" s="404"/>
      <c r="Q50" s="281">
        <v>2006</v>
      </c>
      <c r="R50" s="404"/>
      <c r="S50" s="281">
        <v>2007</v>
      </c>
      <c r="T50" s="404"/>
      <c r="U50" s="281">
        <v>2008</v>
      </c>
      <c r="V50" s="404"/>
      <c r="W50" s="281">
        <v>2009</v>
      </c>
      <c r="X50" s="404"/>
      <c r="Y50" s="281">
        <v>2010</v>
      </c>
      <c r="Z50" s="404"/>
      <c r="AA50" s="281">
        <v>2011</v>
      </c>
      <c r="AB50" s="404"/>
      <c r="AC50" s="281">
        <v>2012</v>
      </c>
      <c r="AD50" s="404"/>
      <c r="AE50" s="281">
        <v>2013</v>
      </c>
      <c r="AF50" s="404"/>
      <c r="AG50" s="281">
        <v>2014</v>
      </c>
      <c r="AH50" s="404"/>
      <c r="AI50" s="281">
        <v>2015</v>
      </c>
      <c r="AJ50" s="404"/>
      <c r="AK50" s="281">
        <v>2016</v>
      </c>
      <c r="AL50" s="404"/>
      <c r="AM50" s="281">
        <v>2017</v>
      </c>
      <c r="AN50" s="404"/>
      <c r="AO50" s="281">
        <v>2018</v>
      </c>
      <c r="AP50" s="281"/>
      <c r="AQ50" s="281">
        <v>2019</v>
      </c>
      <c r="AR50" s="281"/>
      <c r="AS50" s="281">
        <v>2020</v>
      </c>
      <c r="AT50" s="281"/>
      <c r="AU50" s="281">
        <v>2021</v>
      </c>
      <c r="AV50" s="281"/>
      <c r="AX50" s="63" t="s">
        <v>414</v>
      </c>
      <c r="AY50" s="63"/>
    </row>
    <row r="51" spans="2:51" ht="6" customHeight="1">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row>
    <row r="52" spans="2:51" ht="6" customHeight="1">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row>
    <row r="53" spans="2:51" ht="10.5" customHeight="1">
      <c r="B53" s="42"/>
      <c r="C53" s="42"/>
      <c r="D53" s="63" t="s">
        <v>415</v>
      </c>
      <c r="AB53" s="68"/>
      <c r="AC53" s="68"/>
      <c r="AD53" s="68"/>
      <c r="AF53" s="68"/>
      <c r="AH53" s="68"/>
      <c r="AJ53" s="68"/>
      <c r="AL53" s="68"/>
      <c r="AN53" s="68"/>
      <c r="AP53" s="68"/>
      <c r="AR53" s="68"/>
      <c r="AS53" s="17"/>
      <c r="AT53" s="17"/>
      <c r="AU53" s="17"/>
      <c r="AV53" s="17"/>
      <c r="AW53" s="17"/>
      <c r="AX53" s="63" t="s">
        <v>416</v>
      </c>
    </row>
    <row r="54" spans="2:51" ht="10.5" customHeight="1">
      <c r="B54" s="42">
        <v>1</v>
      </c>
      <c r="C54" s="42"/>
      <c r="D54" s="16" t="s">
        <v>113</v>
      </c>
      <c r="E54" s="17" t="s">
        <v>78</v>
      </c>
      <c r="F54" s="23"/>
      <c r="G54" s="17" t="s">
        <v>78</v>
      </c>
      <c r="H54" s="75"/>
      <c r="I54" s="28">
        <v>840</v>
      </c>
      <c r="J54" s="75"/>
      <c r="K54" s="28">
        <v>838</v>
      </c>
      <c r="L54" s="75"/>
      <c r="M54" s="28">
        <v>730</v>
      </c>
      <c r="N54" s="75"/>
      <c r="O54" s="28">
        <v>730</v>
      </c>
      <c r="P54" s="75"/>
      <c r="Q54" s="28">
        <v>730</v>
      </c>
      <c r="R54" s="75"/>
      <c r="S54" s="28">
        <v>715</v>
      </c>
      <c r="T54" s="75"/>
      <c r="U54" s="28">
        <v>709</v>
      </c>
      <c r="V54" s="75"/>
      <c r="W54" s="28">
        <v>706</v>
      </c>
      <c r="X54" s="68"/>
      <c r="Y54" s="28">
        <v>776</v>
      </c>
      <c r="Z54" s="23"/>
      <c r="AA54" s="28">
        <v>769</v>
      </c>
      <c r="AB54" s="28"/>
      <c r="AC54" s="28">
        <v>762</v>
      </c>
      <c r="AD54" s="68"/>
      <c r="AE54" s="28">
        <v>800</v>
      </c>
      <c r="AF54" s="68"/>
      <c r="AG54" s="28">
        <v>764.5</v>
      </c>
      <c r="AH54" s="68"/>
      <c r="AI54" s="28">
        <v>766.5</v>
      </c>
      <c r="AJ54" s="68"/>
      <c r="AK54" s="28">
        <v>778</v>
      </c>
      <c r="AL54" s="23"/>
      <c r="AM54" s="28">
        <v>795</v>
      </c>
      <c r="AN54" s="68"/>
      <c r="AO54" s="28">
        <v>869</v>
      </c>
      <c r="AP54" s="68"/>
      <c r="AQ54" s="28">
        <v>888</v>
      </c>
      <c r="AR54" s="68"/>
      <c r="AS54" s="28">
        <v>892.54098360656576</v>
      </c>
      <c r="AT54" s="17"/>
      <c r="AU54" s="28">
        <v>905</v>
      </c>
      <c r="AV54" s="17"/>
      <c r="AW54" s="17"/>
      <c r="AX54" s="16" t="s">
        <v>128</v>
      </c>
    </row>
    <row r="55" spans="2:51" ht="10.5" customHeight="1">
      <c r="B55" s="42">
        <v>2</v>
      </c>
      <c r="C55" s="42"/>
      <c r="D55" s="16" t="s">
        <v>114</v>
      </c>
      <c r="E55" s="17" t="s">
        <v>78</v>
      </c>
      <c r="F55" s="23"/>
      <c r="G55" s="17" t="s">
        <v>78</v>
      </c>
      <c r="H55" s="28"/>
      <c r="I55" s="28">
        <v>1955</v>
      </c>
      <c r="J55" s="28"/>
      <c r="K55" s="28">
        <v>2047</v>
      </c>
      <c r="L55" s="28"/>
      <c r="M55" s="28">
        <v>1772</v>
      </c>
      <c r="N55" s="28"/>
      <c r="O55" s="28">
        <v>1772</v>
      </c>
      <c r="P55" s="28"/>
      <c r="Q55" s="28">
        <v>1772</v>
      </c>
      <c r="R55" s="28"/>
      <c r="S55" s="28">
        <v>1702</v>
      </c>
      <c r="T55" s="28"/>
      <c r="U55" s="28">
        <v>1707</v>
      </c>
      <c r="V55" s="28"/>
      <c r="W55" s="28">
        <v>1671</v>
      </c>
      <c r="X55" s="28"/>
      <c r="Y55" s="28">
        <v>1812</v>
      </c>
      <c r="Z55" s="23"/>
      <c r="AA55" s="28">
        <v>1803</v>
      </c>
      <c r="AB55" s="28"/>
      <c r="AC55" s="28">
        <v>1779</v>
      </c>
      <c r="AD55" s="68"/>
      <c r="AE55" s="28">
        <v>1806</v>
      </c>
      <c r="AF55" s="68"/>
      <c r="AG55" s="28">
        <f>AG56-AG54</f>
        <v>1816.5</v>
      </c>
      <c r="AH55" s="68"/>
      <c r="AI55" s="28">
        <v>1816.5</v>
      </c>
      <c r="AJ55" s="68"/>
      <c r="AK55" s="28">
        <v>1815</v>
      </c>
      <c r="AL55" s="23"/>
      <c r="AM55" s="28">
        <v>1789</v>
      </c>
      <c r="AN55" s="68"/>
      <c r="AO55" s="28">
        <v>1820</v>
      </c>
      <c r="AP55" s="68"/>
      <c r="AQ55" s="28">
        <v>1892</v>
      </c>
      <c r="AR55" s="68"/>
      <c r="AS55" s="28">
        <v>1923.7868852458766</v>
      </c>
      <c r="AT55" s="17"/>
      <c r="AU55" s="28">
        <v>2315</v>
      </c>
      <c r="AV55" s="17"/>
      <c r="AW55" s="17"/>
      <c r="AX55" s="16" t="s">
        <v>129</v>
      </c>
    </row>
    <row r="56" spans="2:51" ht="10.5" customHeight="1">
      <c r="B56" s="42">
        <v>3</v>
      </c>
      <c r="C56" s="42"/>
      <c r="D56" s="18" t="s">
        <v>231</v>
      </c>
      <c r="E56" s="65">
        <v>2770</v>
      </c>
      <c r="F56" s="133"/>
      <c r="G56" s="65">
        <v>2775</v>
      </c>
      <c r="H56" s="133"/>
      <c r="I56" s="65">
        <v>2795</v>
      </c>
      <c r="J56" s="133"/>
      <c r="K56" s="65">
        <v>2885</v>
      </c>
      <c r="L56" s="133"/>
      <c r="M56" s="65">
        <v>2502</v>
      </c>
      <c r="N56" s="133"/>
      <c r="O56" s="65">
        <v>2502</v>
      </c>
      <c r="P56" s="133"/>
      <c r="Q56" s="65">
        <v>2502</v>
      </c>
      <c r="R56" s="133"/>
      <c r="S56" s="65">
        <v>2417</v>
      </c>
      <c r="T56" s="133"/>
      <c r="U56" s="65">
        <v>2416</v>
      </c>
      <c r="V56" s="133"/>
      <c r="W56" s="65">
        <v>2377</v>
      </c>
      <c r="X56" s="133"/>
      <c r="Y56" s="65">
        <v>2588</v>
      </c>
      <c r="Z56" s="67"/>
      <c r="AA56" s="65">
        <v>2572</v>
      </c>
      <c r="AB56" s="65"/>
      <c r="AC56" s="65">
        <v>2541</v>
      </c>
      <c r="AD56" s="76"/>
      <c r="AE56" s="65">
        <v>2606</v>
      </c>
      <c r="AF56" s="76"/>
      <c r="AG56" s="65">
        <v>2581</v>
      </c>
      <c r="AH56" s="76"/>
      <c r="AI56" s="65">
        <v>2583</v>
      </c>
      <c r="AJ56" s="76"/>
      <c r="AK56" s="65">
        <v>2593</v>
      </c>
      <c r="AL56" s="23"/>
      <c r="AM56" s="65">
        <v>2584</v>
      </c>
      <c r="AN56" s="76"/>
      <c r="AO56" s="65">
        <v>2689</v>
      </c>
      <c r="AP56" s="76"/>
      <c r="AQ56" s="65">
        <v>2780</v>
      </c>
      <c r="AR56" s="76"/>
      <c r="AS56" s="65">
        <v>2816.3278688524424</v>
      </c>
      <c r="AT56" s="66"/>
      <c r="AU56" s="65">
        <v>3220</v>
      </c>
      <c r="AV56" s="66"/>
      <c r="AW56" s="66"/>
      <c r="AX56" s="18" t="s">
        <v>84</v>
      </c>
    </row>
    <row r="57" spans="2:51" ht="6" customHeight="1">
      <c r="B57" s="80"/>
      <c r="C57" s="80"/>
      <c r="D57" s="46"/>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46"/>
    </row>
    <row r="58" spans="2:51" ht="6" customHeight="1">
      <c r="B58" s="42"/>
      <c r="C58" s="42"/>
      <c r="D58" s="24"/>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24"/>
    </row>
    <row r="60" spans="2:51">
      <c r="AM60" s="82"/>
      <c r="AO60" s="82"/>
      <c r="AQ60" s="82"/>
      <c r="AS60" s="394"/>
      <c r="AU60" s="394"/>
    </row>
  </sheetData>
  <mergeCells count="3">
    <mergeCell ref="B6:D6"/>
    <mergeCell ref="B34:D34"/>
    <mergeCell ref="B50:D50"/>
  </mergeCells>
  <printOptions horizontalCentered="1"/>
  <pageMargins left="0" right="0" top="0" bottom="0" header="0" footer="0"/>
  <pageSetup paperSize="9" scale="91"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W83"/>
  <sheetViews>
    <sheetView zoomScaleNormal="100" workbookViewId="0"/>
  </sheetViews>
  <sheetFormatPr defaultColWidth="9.109375" defaultRowHeight="13.8" outlineLevelCol="1"/>
  <cols>
    <col min="1" max="1" width="1.33203125" style="11" customWidth="1"/>
    <col min="2" max="2" width="2.6640625" style="11" bestFit="1" customWidth="1"/>
    <col min="3" max="3" width="0.88671875" style="11" customWidth="1"/>
    <col min="4" max="4" width="27.109375" style="11" customWidth="1"/>
    <col min="5" max="5" width="5.6640625" style="11" hidden="1" customWidth="1" outlineLevel="1"/>
    <col min="6" max="6" width="1.33203125" style="11" hidden="1" customWidth="1" outlineLevel="1"/>
    <col min="7" max="7" width="5.6640625" style="11" hidden="1" customWidth="1" outlineLevel="1"/>
    <col min="8" max="8" width="1.33203125" style="11" hidden="1" customWidth="1" outlineLevel="1"/>
    <col min="9" max="9" width="5.6640625" style="11" hidden="1" customWidth="1" outlineLevel="1"/>
    <col min="10" max="10" width="1.33203125" style="11" hidden="1" customWidth="1" outlineLevel="1"/>
    <col min="11" max="11" width="5.6640625" style="11" hidden="1" customWidth="1" outlineLevel="1"/>
    <col min="12" max="12" width="1.33203125" style="11" hidden="1" customWidth="1" outlineLevel="1"/>
    <col min="13" max="13" width="5.6640625" style="11" hidden="1" customWidth="1" outlineLevel="1"/>
    <col min="14" max="14" width="1.33203125" style="11" hidden="1" customWidth="1" outlineLevel="1"/>
    <col min="15" max="15" width="5.6640625" style="11" hidden="1" customWidth="1" outlineLevel="1"/>
    <col min="16" max="16" width="1.33203125" style="11" hidden="1" customWidth="1" outlineLevel="1"/>
    <col min="17" max="17" width="5.6640625" style="11" hidden="1" customWidth="1" outlineLevel="1"/>
    <col min="18" max="18" width="1.33203125" style="11" hidden="1" customWidth="1" outlineLevel="1"/>
    <col min="19" max="19" width="6.6640625" style="11" hidden="1" customWidth="1" outlineLevel="1"/>
    <col min="20" max="20" width="1.33203125" style="11" hidden="1" customWidth="1" outlineLevel="1"/>
    <col min="21" max="21" width="6.6640625" style="11" hidden="1" customWidth="1" outlineLevel="1"/>
    <col min="22" max="22" width="1.33203125" style="11" hidden="1" customWidth="1" outlineLevel="1"/>
    <col min="23" max="23" width="6.6640625" style="11" hidden="1" customWidth="1" outlineLevel="1"/>
    <col min="24" max="24" width="1.33203125" style="11" hidden="1" customWidth="1" outlineLevel="1"/>
    <col min="25" max="25" width="6.6640625" style="11" hidden="1" customWidth="1" outlineLevel="1"/>
    <col min="26" max="26" width="2" style="11" hidden="1" customWidth="1" outlineLevel="1"/>
    <col min="27" max="27" width="6.6640625" style="11" hidden="1" customWidth="1" outlineLevel="1"/>
    <col min="28" max="28" width="1.33203125" style="11" hidden="1" customWidth="1" outlineLevel="1"/>
    <col min="29" max="29" width="6.6640625" style="11" hidden="1" customWidth="1" outlineLevel="1"/>
    <col min="30" max="30" width="1.33203125" style="11" hidden="1" customWidth="1" outlineLevel="1"/>
    <col min="31" max="31" width="6.6640625" style="11" hidden="1" customWidth="1" outlineLevel="1"/>
    <col min="32" max="32" width="1.33203125" style="11" hidden="1" customWidth="1" outlineLevel="1"/>
    <col min="33" max="33" width="6.6640625" style="11" hidden="1" customWidth="1" outlineLevel="1"/>
    <col min="34" max="34" width="1.33203125" style="11" hidden="1" customWidth="1" outlineLevel="1"/>
    <col min="35" max="35" width="6.6640625" style="11" hidden="1" customWidth="1" outlineLevel="1"/>
    <col min="36" max="36" width="1.33203125" style="11" hidden="1" customWidth="1" outlineLevel="1"/>
    <col min="37" max="37" width="6.6640625" style="11" customWidth="1" collapsed="1"/>
    <col min="38" max="38" width="1.33203125" style="11" customWidth="1"/>
    <col min="39" max="39" width="6.6640625" style="11" customWidth="1"/>
    <col min="40" max="40" width="1.33203125" style="11" customWidth="1"/>
    <col min="41" max="41" width="6.6640625" style="11" customWidth="1"/>
    <col min="42" max="42" width="2.109375" style="11" customWidth="1"/>
    <col min="43" max="43" width="6.6640625" style="11" customWidth="1"/>
    <col min="44" max="44" width="1.88671875" style="11" customWidth="1"/>
    <col min="45" max="45" width="6.6640625" style="11" customWidth="1"/>
    <col min="46" max="46" width="1.88671875" style="11" customWidth="1"/>
    <col min="47" max="47" width="6.6640625" style="11" customWidth="1"/>
    <col min="48" max="48" width="1.88671875" style="11" customWidth="1"/>
    <col min="49" max="49" width="0.88671875" style="11" customWidth="1"/>
    <col min="50" max="50" width="32.88671875" style="11" customWidth="1"/>
    <col min="51" max="51" width="11.33203125" style="11" bestFit="1" customWidth="1"/>
    <col min="52" max="52" width="9.44140625" style="11" bestFit="1" customWidth="1"/>
    <col min="53" max="53" width="11.33203125" style="11" bestFit="1" customWidth="1"/>
    <col min="54" max="54" width="9.44140625" style="11" bestFit="1" customWidth="1"/>
    <col min="55" max="55" width="11.33203125" style="11" bestFit="1" customWidth="1"/>
    <col min="56" max="16384" width="9.109375" style="11"/>
  </cols>
  <sheetData>
    <row r="1" spans="1:60">
      <c r="B1" s="10" t="s">
        <v>1220</v>
      </c>
      <c r="C1" s="10"/>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60">
      <c r="B2" s="156" t="s">
        <v>1221</v>
      </c>
      <c r="C2" s="10"/>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60" ht="6" customHeight="1">
      <c r="B3" s="10"/>
      <c r="C3" s="10"/>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X3" s="293"/>
    </row>
    <row r="4" spans="1:60">
      <c r="B4" s="12" t="s">
        <v>419</v>
      </c>
      <c r="C4" s="12"/>
      <c r="D4" s="10"/>
      <c r="E4" s="10"/>
      <c r="F4" s="10"/>
      <c r="G4" s="10"/>
      <c r="H4" s="10"/>
      <c r="I4" s="10"/>
      <c r="J4" s="10"/>
      <c r="K4" s="10"/>
      <c r="L4" s="10"/>
      <c r="M4" s="10"/>
      <c r="N4" s="10"/>
      <c r="O4" s="10"/>
      <c r="P4" s="10"/>
      <c r="Q4" s="10"/>
      <c r="R4" s="10"/>
      <c r="S4" s="2"/>
      <c r="T4" s="2"/>
      <c r="U4" s="2"/>
      <c r="V4" s="2"/>
      <c r="W4" s="2"/>
      <c r="X4" s="2"/>
      <c r="Y4" s="2"/>
      <c r="Z4" s="2"/>
      <c r="AA4" s="2"/>
      <c r="AB4" s="2"/>
      <c r="AC4" s="2"/>
      <c r="AD4" s="2"/>
      <c r="AE4" s="2"/>
      <c r="AF4" s="2"/>
      <c r="AG4" s="2"/>
      <c r="AH4" s="2"/>
      <c r="AI4" s="2"/>
      <c r="AJ4" s="2"/>
      <c r="AK4" s="2"/>
      <c r="AL4" s="2"/>
      <c r="AM4" s="2"/>
      <c r="AN4" s="2"/>
      <c r="AO4" s="2"/>
      <c r="AP4" s="2"/>
      <c r="AQ4" s="2"/>
      <c r="AR4" s="2"/>
      <c r="AX4" s="1"/>
    </row>
    <row r="5" spans="1:60" ht="6"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13"/>
      <c r="AT5" s="13"/>
      <c r="AU5" s="13"/>
      <c r="AV5" s="13"/>
      <c r="AW5" s="13"/>
      <c r="AX5" s="13"/>
    </row>
    <row r="6" spans="1:60" ht="6" customHeight="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row>
    <row r="7" spans="1:60" ht="12.75" customHeight="1">
      <c r="A7" s="16"/>
      <c r="B7" s="523" t="s">
        <v>420</v>
      </c>
      <c r="C7" s="523"/>
      <c r="D7" s="523"/>
      <c r="E7" s="476">
        <v>2000</v>
      </c>
      <c r="F7" s="476"/>
      <c r="G7" s="476">
        <v>2001</v>
      </c>
      <c r="H7" s="476"/>
      <c r="I7" s="476">
        <v>2002</v>
      </c>
      <c r="J7" s="476"/>
      <c r="K7" s="476">
        <v>2003</v>
      </c>
      <c r="L7" s="476"/>
      <c r="M7" s="476">
        <v>2004</v>
      </c>
      <c r="N7" s="476"/>
      <c r="O7" s="476">
        <v>2005</v>
      </c>
      <c r="P7" s="476"/>
      <c r="Q7" s="476">
        <v>2006</v>
      </c>
      <c r="R7" s="476"/>
      <c r="S7" s="476">
        <v>2007</v>
      </c>
      <c r="T7" s="476"/>
      <c r="U7" s="476">
        <v>2008</v>
      </c>
      <c r="V7" s="476"/>
      <c r="W7" s="476">
        <v>2009</v>
      </c>
      <c r="X7" s="476"/>
      <c r="Y7" s="476">
        <v>2010</v>
      </c>
      <c r="Z7" s="476"/>
      <c r="AA7" s="476">
        <v>2011</v>
      </c>
      <c r="AB7" s="476"/>
      <c r="AC7" s="476">
        <v>2012</v>
      </c>
      <c r="AD7" s="476"/>
      <c r="AE7" s="476">
        <v>2013</v>
      </c>
      <c r="AF7" s="476"/>
      <c r="AG7" s="476">
        <v>2014</v>
      </c>
      <c r="AH7" s="476"/>
      <c r="AI7" s="476">
        <v>2015</v>
      </c>
      <c r="AJ7" s="476"/>
      <c r="AK7" s="476">
        <v>2016</v>
      </c>
      <c r="AL7" s="476"/>
      <c r="AM7" s="476">
        <v>2017</v>
      </c>
      <c r="AN7" s="476"/>
      <c r="AO7" s="476" t="s">
        <v>837</v>
      </c>
      <c r="AP7" s="68"/>
      <c r="AQ7" s="476">
        <v>2019</v>
      </c>
      <c r="AR7" s="476"/>
      <c r="AS7" s="476">
        <v>2020</v>
      </c>
      <c r="AT7" s="476"/>
      <c r="AU7" s="476">
        <v>2021</v>
      </c>
      <c r="AV7" s="281"/>
      <c r="AW7" s="390"/>
      <c r="AX7" s="387" t="s">
        <v>1157</v>
      </c>
    </row>
    <row r="8" spans="1:60" ht="12.75" customHeight="1">
      <c r="A8" s="16"/>
      <c r="B8" s="526" t="s">
        <v>421</v>
      </c>
      <c r="C8" s="526"/>
      <c r="D8" s="526"/>
      <c r="E8" s="534"/>
      <c r="F8" s="534"/>
      <c r="G8" s="534"/>
      <c r="H8" s="534"/>
      <c r="I8" s="534"/>
      <c r="J8" s="534"/>
      <c r="K8" s="534"/>
      <c r="L8" s="534"/>
      <c r="M8" s="534"/>
      <c r="N8" s="534"/>
      <c r="O8" s="534"/>
      <c r="P8" s="534"/>
      <c r="Q8" s="534"/>
      <c r="R8" s="534"/>
      <c r="S8" s="534"/>
      <c r="T8" s="534"/>
      <c r="U8" s="534"/>
      <c r="V8" s="534"/>
      <c r="W8" s="534"/>
      <c r="X8" s="534"/>
      <c r="Y8" s="534"/>
      <c r="Z8" s="534"/>
      <c r="AA8" s="534"/>
      <c r="AB8" s="534"/>
      <c r="AC8" s="534"/>
      <c r="AD8" s="534"/>
      <c r="AE8" s="534"/>
      <c r="AF8" s="534"/>
      <c r="AG8" s="534"/>
      <c r="AH8" s="534"/>
      <c r="AI8" s="534"/>
      <c r="AJ8" s="534"/>
      <c r="AK8" s="534"/>
      <c r="AL8" s="534"/>
      <c r="AM8" s="534"/>
      <c r="AN8" s="534"/>
      <c r="AO8" s="534"/>
      <c r="AP8" s="290"/>
      <c r="AQ8" s="534"/>
      <c r="AR8" s="534"/>
      <c r="AS8" s="534"/>
      <c r="AT8" s="534"/>
      <c r="AU8" s="534"/>
      <c r="AV8" s="290"/>
      <c r="AW8" s="391"/>
      <c r="AX8" s="388" t="s">
        <v>1158</v>
      </c>
    </row>
    <row r="9" spans="1:60" ht="5.0999999999999996" customHeight="1">
      <c r="A9" s="16"/>
      <c r="B9" s="42"/>
      <c r="C9" s="42"/>
      <c r="D9" s="16"/>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6"/>
    </row>
    <row r="10" spans="1:60" ht="10.5" customHeight="1">
      <c r="A10" s="16"/>
      <c r="B10" s="42"/>
      <c r="C10" s="42"/>
      <c r="D10" s="63" t="s">
        <v>672</v>
      </c>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17"/>
      <c r="AT10" s="17"/>
      <c r="AU10" s="17"/>
      <c r="AV10" s="17"/>
      <c r="AW10" s="17"/>
      <c r="AX10" s="63" t="s">
        <v>422</v>
      </c>
      <c r="AY10" s="197"/>
      <c r="AZ10" s="197"/>
      <c r="BA10" s="197"/>
      <c r="BB10" s="197"/>
      <c r="BC10" s="197"/>
    </row>
    <row r="11" spans="1:60" ht="11.25" customHeight="1">
      <c r="A11" s="16"/>
      <c r="B11" s="42">
        <v>1</v>
      </c>
      <c r="C11" s="42"/>
      <c r="D11" s="16" t="s">
        <v>423</v>
      </c>
      <c r="E11" s="28">
        <v>19970.572999999997</v>
      </c>
      <c r="G11" s="28">
        <v>19953.643</v>
      </c>
      <c r="I11" s="184">
        <v>19495.746999999996</v>
      </c>
      <c r="K11" s="28">
        <v>19471.704803333334</v>
      </c>
      <c r="M11" s="28">
        <v>19525.845000000001</v>
      </c>
      <c r="O11" s="28">
        <v>20917.802489999998</v>
      </c>
      <c r="P11" s="78"/>
      <c r="Q11" s="28">
        <v>22002.038256314616</v>
      </c>
      <c r="S11" s="28">
        <v>23116.876626000005</v>
      </c>
      <c r="T11" s="28"/>
      <c r="U11" s="28">
        <v>22445.253621333308</v>
      </c>
      <c r="V11" s="28"/>
      <c r="W11" s="28">
        <v>19029.119860000006</v>
      </c>
      <c r="X11" s="28"/>
      <c r="Y11" s="28">
        <v>20978.453410000016</v>
      </c>
      <c r="Z11" s="28"/>
      <c r="AA11" s="28">
        <v>20710.961759999984</v>
      </c>
      <c r="AB11" s="16"/>
      <c r="AC11" s="28">
        <v>20135.769316647125</v>
      </c>
      <c r="AD11" s="16"/>
      <c r="AE11" s="28">
        <v>20991.080334940867</v>
      </c>
      <c r="AF11" s="143"/>
      <c r="AG11" s="28">
        <v>21348.171976416321</v>
      </c>
      <c r="AH11" s="16"/>
      <c r="AI11" s="28">
        <v>20347.289570477649</v>
      </c>
      <c r="AJ11" s="16"/>
      <c r="AK11" s="28">
        <v>20547.24746554577</v>
      </c>
      <c r="AL11" s="16"/>
      <c r="AM11" s="28">
        <v>20364.955129686001</v>
      </c>
      <c r="AN11" s="16"/>
      <c r="AO11" s="184">
        <v>22529.776182504655</v>
      </c>
      <c r="AP11" s="16"/>
      <c r="AQ11" s="28">
        <v>21994.660482051382</v>
      </c>
      <c r="AR11" s="16"/>
      <c r="AS11" s="28">
        <v>20411.832140805316</v>
      </c>
      <c r="AT11" s="75"/>
      <c r="AU11" s="28">
        <v>21712.4113413548</v>
      </c>
      <c r="AV11" s="75"/>
      <c r="AW11" s="75"/>
      <c r="AX11" s="16" t="s">
        <v>424</v>
      </c>
    </row>
    <row r="12" spans="1:60" ht="11.25" customHeight="1">
      <c r="A12" s="16"/>
      <c r="B12" s="42">
        <v>2</v>
      </c>
      <c r="C12" s="42"/>
      <c r="D12" s="16" t="s">
        <v>425</v>
      </c>
      <c r="E12" s="28">
        <v>10220.6</v>
      </c>
      <c r="G12" s="28">
        <v>10776.5</v>
      </c>
      <c r="I12" s="184">
        <v>10390.543</v>
      </c>
      <c r="K12" s="28">
        <v>11867.189</v>
      </c>
      <c r="M12" s="28">
        <v>12078.606</v>
      </c>
      <c r="O12" s="28">
        <v>12344.967000000001</v>
      </c>
      <c r="Q12" s="28">
        <v>12730.424999999999</v>
      </c>
      <c r="S12" s="28">
        <v>13682.791999999999</v>
      </c>
      <c r="U12" s="28">
        <v>13945.531999999999</v>
      </c>
      <c r="W12" s="28">
        <v>9303.1630000000005</v>
      </c>
      <c r="Y12" s="28">
        <v>12742.844999999999</v>
      </c>
      <c r="AA12" s="28">
        <v>11514.169000000004</v>
      </c>
      <c r="AB12" s="16"/>
      <c r="AC12" s="28">
        <v>10158.731</v>
      </c>
      <c r="AD12" s="16"/>
      <c r="AE12" s="28">
        <v>9923.6075000000001</v>
      </c>
      <c r="AF12" s="143"/>
      <c r="AG12" s="28">
        <v>9826.496000000001</v>
      </c>
      <c r="AH12" s="16"/>
      <c r="AI12" s="28">
        <v>9735.1820000000007</v>
      </c>
      <c r="AJ12" s="16"/>
      <c r="AK12" s="28">
        <v>10263.15</v>
      </c>
      <c r="AL12" s="16"/>
      <c r="AM12" s="28">
        <v>12066.103999999999</v>
      </c>
      <c r="AN12" s="16"/>
      <c r="AO12" s="184">
        <v>7498.8379999999997</v>
      </c>
      <c r="AP12" s="78"/>
      <c r="AQ12" s="28">
        <v>7131.835</v>
      </c>
      <c r="AR12" s="78"/>
      <c r="AS12" s="28">
        <v>8563.1840000000011</v>
      </c>
      <c r="AT12" s="75"/>
      <c r="AU12" s="28">
        <v>8055.7969999999996</v>
      </c>
      <c r="AV12" s="75"/>
      <c r="AW12" s="75"/>
      <c r="AX12" s="16" t="s">
        <v>426</v>
      </c>
    </row>
    <row r="13" spans="1:60" ht="11.25" customHeight="1">
      <c r="A13" s="16"/>
      <c r="B13" s="42">
        <v>3</v>
      </c>
      <c r="C13" s="42"/>
      <c r="D13" s="16" t="s">
        <v>193</v>
      </c>
      <c r="E13" s="28">
        <v>4138.5780000000004</v>
      </c>
      <c r="G13" s="28">
        <v>4064.6960000000004</v>
      </c>
      <c r="I13" s="28">
        <v>4324.7020599999996</v>
      </c>
      <c r="K13" s="28">
        <v>4488.1374633333326</v>
      </c>
      <c r="M13" s="28">
        <v>4948.9796200000001</v>
      </c>
      <c r="O13" s="28">
        <v>5476.8410000000013</v>
      </c>
      <c r="Q13" s="28">
        <v>5842.6381000000001</v>
      </c>
      <c r="S13" s="28">
        <v>6046.8862739999995</v>
      </c>
      <c r="U13" s="28">
        <v>5997.5369926666699</v>
      </c>
      <c r="W13" s="28">
        <v>6500.2748159999983</v>
      </c>
      <c r="Y13" s="28">
        <v>6678.0511369662881</v>
      </c>
      <c r="Z13" s="78"/>
      <c r="AA13" s="28">
        <v>7169.1093581999994</v>
      </c>
      <c r="AB13" s="16"/>
      <c r="AC13" s="28">
        <v>6818.5471337562967</v>
      </c>
      <c r="AD13" s="16"/>
      <c r="AE13" s="28">
        <v>5599.2449488778357</v>
      </c>
      <c r="AF13" s="143"/>
      <c r="AG13" s="28">
        <v>6156.624904681219</v>
      </c>
      <c r="AH13" s="16"/>
      <c r="AI13" s="28">
        <v>6220.2497523456332</v>
      </c>
      <c r="AJ13" s="16"/>
      <c r="AK13" s="28">
        <v>5518.2681750336751</v>
      </c>
      <c r="AL13" s="16"/>
      <c r="AM13" s="28">
        <v>5199.7696706299112</v>
      </c>
      <c r="AN13" s="16"/>
      <c r="AO13" s="184">
        <v>5979.3791681036992</v>
      </c>
      <c r="AP13" s="16"/>
      <c r="AQ13" s="28">
        <v>6235.2996041866218</v>
      </c>
      <c r="AR13" s="16"/>
      <c r="AS13" s="28">
        <v>7261.1657805124287</v>
      </c>
      <c r="AT13" s="75"/>
      <c r="AU13" s="28">
        <v>7443.9792821294404</v>
      </c>
      <c r="AV13" s="75"/>
      <c r="AW13" s="75"/>
      <c r="AX13" s="16" t="s">
        <v>201</v>
      </c>
    </row>
    <row r="14" spans="1:60" ht="11.25" customHeight="1">
      <c r="A14" s="16"/>
      <c r="B14" s="42">
        <v>4</v>
      </c>
      <c r="C14" s="42"/>
      <c r="D14" s="18" t="s">
        <v>674</v>
      </c>
      <c r="E14" s="65">
        <v>34329.750999999997</v>
      </c>
      <c r="F14" s="43"/>
      <c r="G14" s="65">
        <v>34794.839</v>
      </c>
      <c r="H14" s="43"/>
      <c r="I14" s="196">
        <v>34210.992059999997</v>
      </c>
      <c r="J14" s="43"/>
      <c r="K14" s="65">
        <v>35827.031266666665</v>
      </c>
      <c r="L14" s="43"/>
      <c r="M14" s="65">
        <v>36553.430619999999</v>
      </c>
      <c r="N14" s="43"/>
      <c r="O14" s="65">
        <v>38739.610489999999</v>
      </c>
      <c r="P14" s="78"/>
      <c r="Q14" s="65">
        <v>40575.101356314612</v>
      </c>
      <c r="R14" s="43"/>
      <c r="S14" s="65">
        <v>42846.554900000003</v>
      </c>
      <c r="T14" s="43"/>
      <c r="U14" s="65">
        <v>42388.322613999975</v>
      </c>
      <c r="V14" s="43"/>
      <c r="W14" s="65">
        <v>34832.557676000004</v>
      </c>
      <c r="X14" s="43"/>
      <c r="Y14" s="65">
        <v>40399.349546966303</v>
      </c>
      <c r="Z14" s="43"/>
      <c r="AA14" s="65">
        <v>39394.240118199989</v>
      </c>
      <c r="AB14" s="16"/>
      <c r="AC14" s="65">
        <v>37113.047450403421</v>
      </c>
      <c r="AD14" s="16"/>
      <c r="AE14" s="65">
        <v>36513.932783818702</v>
      </c>
      <c r="AF14" s="143"/>
      <c r="AG14" s="65">
        <v>37331.292881097543</v>
      </c>
      <c r="AH14" s="16"/>
      <c r="AI14" s="65">
        <v>36302.721322823279</v>
      </c>
      <c r="AJ14" s="16"/>
      <c r="AK14" s="65">
        <v>36328.665640579442</v>
      </c>
      <c r="AL14" s="16"/>
      <c r="AM14" s="65">
        <v>37630.82880031591</v>
      </c>
      <c r="AN14" s="16"/>
      <c r="AO14" s="196">
        <v>36007.993350608354</v>
      </c>
      <c r="AP14" s="78"/>
      <c r="AQ14" s="65">
        <v>35361.795086238002</v>
      </c>
      <c r="AR14" s="78"/>
      <c r="AS14" s="65">
        <v>36236.181921317744</v>
      </c>
      <c r="AT14" s="75"/>
      <c r="AU14" s="65">
        <v>37212.187623484242</v>
      </c>
      <c r="AV14" s="75"/>
      <c r="AW14" s="75"/>
      <c r="AX14" s="18" t="s">
        <v>84</v>
      </c>
      <c r="AY14" s="82"/>
      <c r="AZ14" s="82"/>
      <c r="BA14" s="82"/>
      <c r="BB14" s="82"/>
      <c r="BC14" s="82"/>
      <c r="BD14" s="82"/>
      <c r="BE14" s="82"/>
      <c r="BF14" s="82"/>
      <c r="BG14" s="82"/>
      <c r="BH14" s="82"/>
    </row>
    <row r="15" spans="1:60" ht="6" customHeight="1">
      <c r="A15" s="16"/>
      <c r="B15" s="34"/>
      <c r="C15" s="34"/>
      <c r="D15" s="56"/>
      <c r="E15" s="83"/>
      <c r="F15" s="130"/>
      <c r="G15" s="83"/>
      <c r="H15" s="130"/>
      <c r="I15" s="83"/>
      <c r="J15" s="130"/>
      <c r="K15" s="83"/>
      <c r="L15" s="130"/>
      <c r="M15" s="83"/>
      <c r="N15" s="130"/>
      <c r="O15" s="83"/>
      <c r="P15" s="130"/>
      <c r="Q15" s="83"/>
      <c r="R15" s="130"/>
      <c r="S15" s="83"/>
      <c r="T15" s="130"/>
      <c r="U15" s="83"/>
      <c r="V15" s="130"/>
      <c r="W15" s="83"/>
      <c r="X15" s="130"/>
      <c r="Y15" s="83"/>
      <c r="Z15" s="130"/>
      <c r="AA15" s="83"/>
      <c r="AB15" s="70"/>
      <c r="AC15" s="83"/>
      <c r="AD15" s="70"/>
      <c r="AE15" s="83"/>
      <c r="AF15" s="83"/>
      <c r="AG15" s="83"/>
      <c r="AH15" s="70"/>
      <c r="AI15" s="83"/>
      <c r="AJ15" s="70"/>
      <c r="AK15" s="83"/>
      <c r="AL15" s="70"/>
      <c r="AM15" s="83"/>
      <c r="AN15" s="70"/>
      <c r="AO15" s="83"/>
      <c r="AP15" s="70"/>
      <c r="AQ15" s="83"/>
      <c r="AR15" s="70"/>
      <c r="AS15" s="83"/>
      <c r="AT15" s="73"/>
      <c r="AU15" s="83"/>
      <c r="AV15" s="73"/>
      <c r="AW15" s="73"/>
      <c r="AX15" s="56"/>
    </row>
    <row r="16" spans="1:60" ht="6" customHeight="1">
      <c r="A16" s="16"/>
      <c r="B16" s="42"/>
      <c r="C16" s="42"/>
      <c r="D16" s="16"/>
      <c r="E16" s="28"/>
      <c r="G16" s="28"/>
      <c r="I16" s="28"/>
      <c r="K16" s="28"/>
      <c r="M16" s="28"/>
      <c r="O16" s="28"/>
      <c r="Q16" s="28"/>
      <c r="S16" s="28"/>
      <c r="U16" s="28"/>
      <c r="W16" s="28"/>
      <c r="Y16" s="28"/>
      <c r="AA16" s="28"/>
      <c r="AB16" s="16"/>
      <c r="AC16" s="28"/>
      <c r="AD16" s="16"/>
      <c r="AE16" s="28"/>
      <c r="AF16" s="143"/>
      <c r="AG16" s="28"/>
      <c r="AH16" s="16"/>
      <c r="AI16" s="28"/>
      <c r="AJ16" s="16"/>
      <c r="AK16" s="28"/>
      <c r="AL16" s="16"/>
      <c r="AM16" s="28"/>
      <c r="AN16" s="16"/>
      <c r="AO16" s="28"/>
      <c r="AP16" s="16"/>
      <c r="AQ16" s="28"/>
      <c r="AR16" s="16"/>
      <c r="AS16" s="28"/>
      <c r="AT16" s="17"/>
      <c r="AU16" s="28"/>
      <c r="AV16" s="17"/>
      <c r="AW16" s="17"/>
      <c r="AX16" s="16"/>
    </row>
    <row r="17" spans="1:60" ht="10.5" customHeight="1">
      <c r="A17" s="16"/>
      <c r="B17" s="42"/>
      <c r="C17" s="42"/>
      <c r="D17" s="63" t="s">
        <v>673</v>
      </c>
      <c r="E17" s="28"/>
      <c r="G17" s="28"/>
      <c r="I17" s="28"/>
      <c r="K17" s="28"/>
      <c r="M17" s="28"/>
      <c r="O17" s="28"/>
      <c r="Q17" s="28"/>
      <c r="S17" s="28"/>
      <c r="U17" s="28"/>
      <c r="W17" s="28"/>
      <c r="Y17" s="28"/>
      <c r="AA17" s="28"/>
      <c r="AB17" s="16"/>
      <c r="AC17" s="28"/>
      <c r="AD17" s="16"/>
      <c r="AE17" s="28"/>
      <c r="AF17" s="143"/>
      <c r="AG17" s="28"/>
      <c r="AH17" s="16"/>
      <c r="AI17" s="28"/>
      <c r="AJ17" s="16"/>
      <c r="AK17" s="28"/>
      <c r="AL17" s="16"/>
      <c r="AM17" s="28"/>
      <c r="AN17" s="16"/>
      <c r="AO17" s="262"/>
      <c r="AP17" s="16"/>
      <c r="AQ17" s="28"/>
      <c r="AR17" s="16"/>
      <c r="AS17" s="28"/>
      <c r="AT17" s="17"/>
      <c r="AU17" s="28"/>
      <c r="AV17" s="17"/>
      <c r="AW17" s="17"/>
      <c r="AX17" s="63" t="s">
        <v>427</v>
      </c>
    </row>
    <row r="18" spans="1:60" ht="11.25" customHeight="1">
      <c r="A18" s="16"/>
      <c r="B18" s="42">
        <v>5</v>
      </c>
      <c r="C18" s="42"/>
      <c r="D18" s="16" t="s">
        <v>423</v>
      </c>
      <c r="E18" s="28">
        <v>8080.2880000000005</v>
      </c>
      <c r="G18" s="28">
        <v>7346.5759999999973</v>
      </c>
      <c r="I18" s="184">
        <v>6798.7769999999964</v>
      </c>
      <c r="K18" s="28">
        <v>7177.5992200000001</v>
      </c>
      <c r="M18" s="28">
        <v>7180.1010000000006</v>
      </c>
      <c r="O18" s="28">
        <v>7115.4120799999982</v>
      </c>
      <c r="Q18" s="28">
        <v>6787.5403536853883</v>
      </c>
      <c r="S18" s="28">
        <v>6791.1129529999889</v>
      </c>
      <c r="T18" s="28"/>
      <c r="U18" s="28">
        <v>6681.4534569999869</v>
      </c>
      <c r="V18" s="28"/>
      <c r="W18" s="28">
        <v>5338.888004999988</v>
      </c>
      <c r="X18" s="28"/>
      <c r="Y18" s="28">
        <v>5817.2133121810912</v>
      </c>
      <c r="Z18" s="28"/>
      <c r="AA18" s="28">
        <v>6254.360931999996</v>
      </c>
      <c r="AB18" s="16"/>
      <c r="AC18" s="28">
        <v>5424.3691276621139</v>
      </c>
      <c r="AD18" s="16"/>
      <c r="AE18" s="28">
        <v>6843.1200139999892</v>
      </c>
      <c r="AF18" s="143"/>
      <c r="AG18" s="28">
        <v>7675.3195130000022</v>
      </c>
      <c r="AH18" s="16"/>
      <c r="AI18" s="28">
        <v>7013.0142513187566</v>
      </c>
      <c r="AJ18" s="16"/>
      <c r="AK18" s="28">
        <v>7212.9905345797706</v>
      </c>
      <c r="AL18" s="16"/>
      <c r="AM18" s="28">
        <v>7513.7474052599027</v>
      </c>
      <c r="AN18" s="16"/>
      <c r="AO18" s="184">
        <v>7984.8432204880155</v>
      </c>
      <c r="AP18" s="78"/>
      <c r="AQ18" s="28">
        <v>7915.0692492038797</v>
      </c>
      <c r="AR18" s="16"/>
      <c r="AS18" s="262">
        <v>10528.810273722222</v>
      </c>
      <c r="AT18" s="75"/>
      <c r="AU18" s="262">
        <v>9889.6986400778696</v>
      </c>
      <c r="AV18" s="75"/>
      <c r="AW18" s="75"/>
      <c r="AX18" s="16" t="s">
        <v>424</v>
      </c>
    </row>
    <row r="19" spans="1:60" ht="11.25" customHeight="1">
      <c r="A19" s="16"/>
      <c r="B19" s="42">
        <v>6</v>
      </c>
      <c r="C19" s="42"/>
      <c r="D19" s="16" t="s">
        <v>425</v>
      </c>
      <c r="E19" s="28">
        <v>13986.400000000001</v>
      </c>
      <c r="G19" s="28">
        <v>12226.099999999999</v>
      </c>
      <c r="I19" s="184">
        <v>12772.029</v>
      </c>
      <c r="K19" s="28">
        <v>13730.608</v>
      </c>
      <c r="M19" s="28">
        <v>15162.62</v>
      </c>
      <c r="O19" s="28">
        <v>15948.52</v>
      </c>
      <c r="Q19" s="28">
        <v>15924.748</v>
      </c>
      <c r="S19" s="28">
        <v>16241.407999999999</v>
      </c>
      <c r="U19" s="28">
        <v>14299.225</v>
      </c>
      <c r="W19" s="28">
        <v>12681.933999999999</v>
      </c>
      <c r="Y19" s="28">
        <v>17471.867000000002</v>
      </c>
      <c r="AA19" s="28">
        <v>17816.271000000001</v>
      </c>
      <c r="AB19" s="16"/>
      <c r="AC19" s="28">
        <v>18897.03</v>
      </c>
      <c r="AD19" s="16"/>
      <c r="AE19" s="28">
        <v>18880.906999999999</v>
      </c>
      <c r="AF19" s="143"/>
      <c r="AG19" s="28">
        <v>18771.606999999996</v>
      </c>
      <c r="AH19" s="16"/>
      <c r="AI19" s="28">
        <v>17684.444</v>
      </c>
      <c r="AJ19" s="16"/>
      <c r="AK19" s="28">
        <v>19714.281999999996</v>
      </c>
      <c r="AL19" s="16"/>
      <c r="AM19" s="28">
        <v>19909.022999999997</v>
      </c>
      <c r="AN19" s="16"/>
      <c r="AO19" s="28">
        <v>20537.664999999994</v>
      </c>
      <c r="AP19" s="78"/>
      <c r="AQ19" s="28">
        <v>20473.099999999999</v>
      </c>
      <c r="AR19" s="16"/>
      <c r="AS19" s="28">
        <v>19794.097000000002</v>
      </c>
      <c r="AT19" s="75"/>
      <c r="AU19" s="28">
        <v>21724.661</v>
      </c>
      <c r="AV19" s="75"/>
      <c r="AW19" s="75"/>
      <c r="AX19" s="16" t="s">
        <v>426</v>
      </c>
    </row>
    <row r="20" spans="1:60" ht="11.25" customHeight="1">
      <c r="A20" s="16"/>
      <c r="B20" s="42">
        <v>7</v>
      </c>
      <c r="C20" s="42"/>
      <c r="D20" s="16" t="s">
        <v>193</v>
      </c>
      <c r="E20" s="28">
        <v>856.69900000000007</v>
      </c>
      <c r="G20" s="28">
        <v>837.82899999999995</v>
      </c>
      <c r="I20" s="28">
        <v>997.82812999999999</v>
      </c>
      <c r="K20" s="28">
        <v>1138.8009499999998</v>
      </c>
      <c r="M20" s="28">
        <v>1261.2552800000001</v>
      </c>
      <c r="O20" s="28">
        <v>1394.5485103425451</v>
      </c>
      <c r="Q20" s="28">
        <v>1657.08457</v>
      </c>
      <c r="S20" s="28">
        <v>1929.513922383939</v>
      </c>
      <c r="U20" s="28">
        <v>2263.2604378867045</v>
      </c>
      <c r="V20" s="251"/>
      <c r="W20" s="28">
        <v>3613.0008970000004</v>
      </c>
      <c r="X20" s="143"/>
      <c r="Y20" s="28">
        <v>4640.1250918189135</v>
      </c>
      <c r="Z20" s="78"/>
      <c r="AA20" s="28">
        <v>4441.8127391684793</v>
      </c>
      <c r="AB20" s="16"/>
      <c r="AC20" s="28">
        <v>4354.24884336385</v>
      </c>
      <c r="AD20" s="16"/>
      <c r="AE20" s="28">
        <v>4808.6179863522439</v>
      </c>
      <c r="AF20" s="143"/>
      <c r="AG20" s="28">
        <v>4256.6700959999998</v>
      </c>
      <c r="AH20" s="16"/>
      <c r="AI20" s="28">
        <v>3998.4545249999996</v>
      </c>
      <c r="AJ20" s="16"/>
      <c r="AK20" s="28">
        <v>4222.7712328764856</v>
      </c>
      <c r="AL20" s="16"/>
      <c r="AM20" s="28">
        <v>4296.6579521803224</v>
      </c>
      <c r="AN20" s="16"/>
      <c r="AO20" s="184">
        <v>4592.289823918376</v>
      </c>
      <c r="AP20" s="16"/>
      <c r="AQ20" s="28">
        <v>4470.0894597349543</v>
      </c>
      <c r="AR20" s="16"/>
      <c r="AS20" s="28">
        <v>3245.903687850905</v>
      </c>
      <c r="AT20" s="17"/>
      <c r="AU20" s="28">
        <v>3631.7486542864899</v>
      </c>
      <c r="AV20" s="17"/>
      <c r="AW20" s="17"/>
      <c r="AX20" s="16" t="s">
        <v>201</v>
      </c>
    </row>
    <row r="21" spans="1:60" ht="11.25" customHeight="1">
      <c r="A21" s="16"/>
      <c r="B21" s="42">
        <v>8</v>
      </c>
      <c r="C21" s="42"/>
      <c r="D21" s="18" t="s">
        <v>676</v>
      </c>
      <c r="E21" s="65">
        <v>22923.387000000002</v>
      </c>
      <c r="F21" s="43"/>
      <c r="G21" s="65">
        <v>20410.504999999997</v>
      </c>
      <c r="H21" s="43"/>
      <c r="I21" s="196">
        <v>20568.634129999999</v>
      </c>
      <c r="J21" s="43"/>
      <c r="K21" s="65">
        <v>22047.008170000001</v>
      </c>
      <c r="L21" s="43"/>
      <c r="M21" s="65">
        <v>23603.976280000003</v>
      </c>
      <c r="N21" s="43"/>
      <c r="O21" s="65">
        <v>24458.480590342544</v>
      </c>
      <c r="P21" s="43"/>
      <c r="Q21" s="65">
        <v>24369.372923685387</v>
      </c>
      <c r="R21" s="43"/>
      <c r="S21" s="65">
        <v>24962.034875383928</v>
      </c>
      <c r="T21" s="43"/>
      <c r="U21" s="65">
        <v>23243.938894886691</v>
      </c>
      <c r="V21" s="252"/>
      <c r="W21" s="65">
        <v>21633.822901999989</v>
      </c>
      <c r="X21" s="143"/>
      <c r="Y21" s="65">
        <v>27929.205404000008</v>
      </c>
      <c r="Z21" s="43"/>
      <c r="AA21" s="65">
        <v>28512.444671168476</v>
      </c>
      <c r="AB21" s="16"/>
      <c r="AC21" s="65">
        <v>28675.647971025963</v>
      </c>
      <c r="AD21" s="16"/>
      <c r="AE21" s="65">
        <v>30532.645000352233</v>
      </c>
      <c r="AF21" s="143"/>
      <c r="AG21" s="65">
        <v>30703.596609</v>
      </c>
      <c r="AH21" s="16"/>
      <c r="AI21" s="65">
        <v>28695.912776318761</v>
      </c>
      <c r="AJ21" s="16"/>
      <c r="AK21" s="65">
        <v>31150.043767456253</v>
      </c>
      <c r="AL21" s="16"/>
      <c r="AM21" s="65">
        <v>31719.428357440222</v>
      </c>
      <c r="AN21" s="16"/>
      <c r="AO21" s="196">
        <v>33114.798044406387</v>
      </c>
      <c r="AP21" s="78"/>
      <c r="AQ21" s="65">
        <v>32858.258708938825</v>
      </c>
      <c r="AR21" s="16"/>
      <c r="AS21" s="65">
        <v>33568.81096157313</v>
      </c>
      <c r="AT21" s="75"/>
      <c r="AU21" s="65">
        <v>35246.108294364356</v>
      </c>
      <c r="AV21" s="75"/>
      <c r="AW21" s="75"/>
      <c r="AX21" s="18" t="s">
        <v>84</v>
      </c>
      <c r="AY21" s="82"/>
      <c r="AZ21" s="82"/>
      <c r="BA21" s="82"/>
      <c r="BB21" s="82"/>
      <c r="BC21" s="82"/>
      <c r="BD21" s="82"/>
      <c r="BE21" s="82"/>
      <c r="BF21" s="82"/>
      <c r="BG21" s="82"/>
      <c r="BH21" s="82"/>
    </row>
    <row r="22" spans="1:60" ht="6" customHeight="1">
      <c r="A22" s="16"/>
      <c r="B22" s="34"/>
      <c r="C22" s="34"/>
      <c r="D22" s="56"/>
      <c r="E22" s="83"/>
      <c r="F22" s="130"/>
      <c r="G22" s="83"/>
      <c r="H22" s="130"/>
      <c r="I22" s="83"/>
      <c r="J22" s="130"/>
      <c r="K22" s="83"/>
      <c r="L22" s="130"/>
      <c r="M22" s="83"/>
      <c r="N22" s="130"/>
      <c r="O22" s="83"/>
      <c r="P22" s="130"/>
      <c r="Q22" s="83"/>
      <c r="R22" s="130"/>
      <c r="S22" s="83"/>
      <c r="T22" s="130"/>
      <c r="U22" s="83"/>
      <c r="V22" s="130"/>
      <c r="W22" s="83"/>
      <c r="X22" s="144"/>
      <c r="Y22" s="83"/>
      <c r="Z22" s="130"/>
      <c r="AA22" s="83"/>
      <c r="AB22" s="70"/>
      <c r="AC22" s="83"/>
      <c r="AD22" s="70"/>
      <c r="AE22" s="83"/>
      <c r="AF22" s="83"/>
      <c r="AG22" s="83"/>
      <c r="AH22" s="70"/>
      <c r="AI22" s="83"/>
      <c r="AJ22" s="70"/>
      <c r="AK22" s="83"/>
      <c r="AL22" s="70"/>
      <c r="AM22" s="83"/>
      <c r="AN22" s="70"/>
      <c r="AO22" s="83"/>
      <c r="AP22" s="70"/>
      <c r="AQ22" s="83"/>
      <c r="AR22" s="70"/>
      <c r="AS22" s="83"/>
      <c r="AT22" s="73"/>
      <c r="AU22" s="83"/>
      <c r="AV22" s="73"/>
      <c r="AW22" s="73"/>
      <c r="AX22" s="56"/>
    </row>
    <row r="23" spans="1:60" ht="6" customHeight="1">
      <c r="A23" s="16"/>
      <c r="B23" s="42"/>
      <c r="C23" s="42"/>
      <c r="D23" s="16"/>
      <c r="E23" s="28"/>
      <c r="G23" s="28"/>
      <c r="I23" s="28"/>
      <c r="K23" s="28"/>
      <c r="M23" s="28"/>
      <c r="O23" s="28"/>
      <c r="Q23" s="28"/>
      <c r="S23" s="28"/>
      <c r="U23" s="28"/>
      <c r="W23" s="28"/>
      <c r="Y23" s="28"/>
      <c r="AA23" s="28"/>
      <c r="AB23" s="16"/>
      <c r="AC23" s="28"/>
      <c r="AD23" s="16"/>
      <c r="AE23" s="28"/>
      <c r="AF23" s="143"/>
      <c r="AG23" s="28"/>
      <c r="AH23" s="16"/>
      <c r="AI23" s="28"/>
      <c r="AJ23" s="16"/>
      <c r="AK23" s="28"/>
      <c r="AL23" s="16"/>
      <c r="AM23" s="28"/>
      <c r="AN23" s="16"/>
      <c r="AO23" s="28"/>
      <c r="AP23" s="16"/>
      <c r="AQ23" s="28"/>
      <c r="AR23" s="16"/>
      <c r="AS23" s="28"/>
      <c r="AT23" s="17"/>
      <c r="AU23" s="28"/>
      <c r="AV23" s="17"/>
      <c r="AW23" s="17"/>
      <c r="AX23" s="16"/>
    </row>
    <row r="24" spans="1:60" ht="10.5" customHeight="1">
      <c r="A24" s="16"/>
      <c r="B24" s="42"/>
      <c r="C24" s="42"/>
      <c r="D24" s="63" t="s">
        <v>675</v>
      </c>
      <c r="E24" s="28"/>
      <c r="G24" s="28"/>
      <c r="I24" s="28"/>
      <c r="K24" s="28"/>
      <c r="M24" s="28"/>
      <c r="O24" s="28"/>
      <c r="Q24" s="28"/>
      <c r="S24" s="28"/>
      <c r="U24" s="28"/>
      <c r="W24" s="28"/>
      <c r="Y24" s="28"/>
      <c r="AA24" s="28"/>
      <c r="AB24" s="16"/>
      <c r="AC24" s="28"/>
      <c r="AD24" s="16"/>
      <c r="AE24" s="28"/>
      <c r="AF24" s="143"/>
      <c r="AG24" s="28"/>
      <c r="AH24" s="16"/>
      <c r="AI24" s="28"/>
      <c r="AJ24" s="16"/>
      <c r="AK24" s="28"/>
      <c r="AL24" s="16"/>
      <c r="AM24" s="28"/>
      <c r="AN24" s="16"/>
      <c r="AO24" s="28"/>
      <c r="AP24" s="16"/>
      <c r="AQ24" s="28"/>
      <c r="AR24" s="16"/>
      <c r="AS24" s="28"/>
      <c r="AT24" s="17"/>
      <c r="AU24" s="28"/>
      <c r="AV24" s="17"/>
      <c r="AW24" s="17"/>
      <c r="AX24" s="63" t="s">
        <v>428</v>
      </c>
    </row>
    <row r="25" spans="1:60" ht="11.25" customHeight="1">
      <c r="A25" s="16"/>
      <c r="B25" s="42">
        <v>9</v>
      </c>
      <c r="C25" s="42"/>
      <c r="D25" s="16" t="s">
        <v>423</v>
      </c>
      <c r="E25" s="28">
        <v>28050.860999999997</v>
      </c>
      <c r="G25" s="28">
        <v>27300.218999999997</v>
      </c>
      <c r="I25" s="184">
        <v>26294.52399999999</v>
      </c>
      <c r="K25" s="28">
        <v>26649.304023333334</v>
      </c>
      <c r="M25" s="28">
        <v>26705.946000000004</v>
      </c>
      <c r="O25" s="28">
        <v>28033.214569999996</v>
      </c>
      <c r="Q25" s="28">
        <v>28789.578610000004</v>
      </c>
      <c r="S25" s="28">
        <v>29907.989578999994</v>
      </c>
      <c r="T25" s="28"/>
      <c r="U25" s="28">
        <v>29126.707078333297</v>
      </c>
      <c r="V25" s="28"/>
      <c r="W25" s="28">
        <v>24368.007864999992</v>
      </c>
      <c r="X25" s="28"/>
      <c r="Y25" s="28">
        <v>26795.666722181108</v>
      </c>
      <c r="Z25" s="28"/>
      <c r="AA25" s="28">
        <v>26965.32269199998</v>
      </c>
      <c r="AB25" s="16"/>
      <c r="AC25" s="28">
        <v>25560.138444309217</v>
      </c>
      <c r="AD25" s="16"/>
      <c r="AE25" s="28">
        <v>27834.20034894086</v>
      </c>
      <c r="AF25" s="143"/>
      <c r="AG25" s="28">
        <v>29023.491489416327</v>
      </c>
      <c r="AH25" s="16"/>
      <c r="AI25" s="28">
        <v>27360.303821796406</v>
      </c>
      <c r="AJ25" s="16"/>
      <c r="AK25" s="262">
        <v>27760.238000125501</v>
      </c>
      <c r="AL25" s="16"/>
      <c r="AM25" s="262">
        <v>27878.702534945904</v>
      </c>
      <c r="AN25" s="16"/>
      <c r="AO25" s="184">
        <v>30514.61940299267</v>
      </c>
      <c r="AP25" s="78"/>
      <c r="AQ25" s="28">
        <v>29909.729731255262</v>
      </c>
      <c r="AR25" s="16"/>
      <c r="AS25" s="28">
        <v>30940.642414527538</v>
      </c>
      <c r="AT25" s="17"/>
      <c r="AU25" s="28">
        <v>31602.109981432699</v>
      </c>
      <c r="AV25" s="17"/>
      <c r="AW25" s="17"/>
      <c r="AX25" s="16" t="s">
        <v>424</v>
      </c>
    </row>
    <row r="26" spans="1:60" ht="11.25" customHeight="1">
      <c r="A26" s="16"/>
      <c r="B26" s="42">
        <v>10</v>
      </c>
      <c r="C26" s="42"/>
      <c r="D26" s="24" t="s">
        <v>429</v>
      </c>
      <c r="E26" s="28">
        <v>9982.5560000000023</v>
      </c>
      <c r="G26" s="28">
        <v>10913.520999999997</v>
      </c>
      <c r="I26" s="184">
        <v>11886.505080000003</v>
      </c>
      <c r="K26" s="28">
        <v>11675.037799999998</v>
      </c>
      <c r="M26" s="28">
        <v>12140.186000000002</v>
      </c>
      <c r="O26" s="28">
        <v>13548.065210000001</v>
      </c>
      <c r="Q26" s="28">
        <v>15445.175679999997</v>
      </c>
      <c r="S26" s="28">
        <v>14694.137669999996</v>
      </c>
      <c r="T26" s="28"/>
      <c r="U26" s="28">
        <v>14731.017016000005</v>
      </c>
      <c r="V26" s="28"/>
      <c r="W26" s="28">
        <v>12443.856395000003</v>
      </c>
      <c r="X26" s="28"/>
      <c r="Y26" s="28">
        <v>13382.801460000002</v>
      </c>
      <c r="Z26" s="28"/>
      <c r="AA26" s="28">
        <v>11988.436529999999</v>
      </c>
      <c r="AB26" s="16"/>
      <c r="AC26" s="28">
        <v>11613.006730000016</v>
      </c>
      <c r="AD26" s="16"/>
      <c r="AE26" s="28">
        <v>7774.2967200000057</v>
      </c>
      <c r="AF26" s="143"/>
      <c r="AG26" s="28">
        <v>7575.1351099295534</v>
      </c>
      <c r="AH26" s="16"/>
      <c r="AI26" s="28">
        <v>7179.7651747784639</v>
      </c>
      <c r="AJ26" s="16"/>
      <c r="AK26" s="28">
        <v>7769.2138736215584</v>
      </c>
      <c r="AL26" s="16"/>
      <c r="AM26" s="28">
        <v>7739.7519095805001</v>
      </c>
      <c r="AN26" s="16"/>
      <c r="AO26" s="184">
        <v>7322.1739573962695</v>
      </c>
      <c r="AP26" s="78"/>
      <c r="AQ26" s="28">
        <v>6854.1689268901609</v>
      </c>
      <c r="AR26" s="16"/>
      <c r="AS26" s="28">
        <v>7526.6168395812274</v>
      </c>
      <c r="AT26" s="17"/>
      <c r="AU26" s="28">
        <v>8007.6384384494204</v>
      </c>
      <c r="AV26" s="17"/>
      <c r="AW26" s="17"/>
      <c r="AX26" s="24" t="s">
        <v>430</v>
      </c>
    </row>
    <row r="27" spans="1:60" ht="11.25" customHeight="1">
      <c r="A27" s="16"/>
      <c r="B27" s="42">
        <v>11</v>
      </c>
      <c r="C27" s="42"/>
      <c r="D27" s="16" t="s">
        <v>425</v>
      </c>
      <c r="E27" s="28">
        <v>24207</v>
      </c>
      <c r="G27" s="28">
        <v>23002.6</v>
      </c>
      <c r="I27" s="184">
        <v>23162.572</v>
      </c>
      <c r="K27" s="28">
        <v>25597.796999999999</v>
      </c>
      <c r="M27" s="28">
        <v>27241.226000000002</v>
      </c>
      <c r="O27" s="28">
        <v>28293.487000000001</v>
      </c>
      <c r="Q27" s="28">
        <v>28655.172999999999</v>
      </c>
      <c r="S27" s="28">
        <v>29924.199999999997</v>
      </c>
      <c r="T27" s="28"/>
      <c r="U27" s="28">
        <v>28244.756999999998</v>
      </c>
      <c r="V27" s="28"/>
      <c r="W27" s="28">
        <v>21985.097000000002</v>
      </c>
      <c r="X27" s="28"/>
      <c r="Y27" s="28">
        <v>30214.712</v>
      </c>
      <c r="Z27" s="28"/>
      <c r="AA27" s="28">
        <v>29330.440000000002</v>
      </c>
      <c r="AB27" s="16"/>
      <c r="AC27" s="28">
        <v>29055.760999999999</v>
      </c>
      <c r="AD27" s="16"/>
      <c r="AE27" s="28">
        <v>28804.514499999997</v>
      </c>
      <c r="AF27" s="143"/>
      <c r="AG27" s="28">
        <v>28598.102999999999</v>
      </c>
      <c r="AH27" s="16"/>
      <c r="AI27" s="28">
        <v>27419.626</v>
      </c>
      <c r="AJ27" s="16"/>
      <c r="AK27" s="28">
        <v>29977.431999999997</v>
      </c>
      <c r="AL27" s="16"/>
      <c r="AM27" s="28">
        <v>31975.126999999997</v>
      </c>
      <c r="AN27" s="16"/>
      <c r="AO27" s="184">
        <v>28036.502999999993</v>
      </c>
      <c r="AP27" s="78"/>
      <c r="AQ27" s="28">
        <v>27604.934999999998</v>
      </c>
      <c r="AR27" s="78"/>
      <c r="AS27" s="28">
        <v>28357.281000000003</v>
      </c>
      <c r="AT27" s="17"/>
      <c r="AU27" s="28">
        <v>29780.457999999999</v>
      </c>
      <c r="AV27" s="17"/>
      <c r="AW27" s="17"/>
      <c r="AX27" s="16" t="s">
        <v>426</v>
      </c>
    </row>
    <row r="28" spans="1:60" ht="11.25" customHeight="1">
      <c r="A28" s="16"/>
      <c r="B28" s="42">
        <v>12</v>
      </c>
      <c r="C28" s="42"/>
      <c r="D28" s="16" t="s">
        <v>193</v>
      </c>
      <c r="E28" s="28">
        <v>4995.277</v>
      </c>
      <c r="G28" s="28">
        <v>4902.5250000000005</v>
      </c>
      <c r="I28" s="28">
        <v>5322.5301899999995</v>
      </c>
      <c r="K28" s="28">
        <v>5626.9384133333324</v>
      </c>
      <c r="M28" s="28">
        <v>6210.2349000000004</v>
      </c>
      <c r="O28" s="28">
        <v>6871.3895103425466</v>
      </c>
      <c r="Q28" s="28">
        <v>7499.7226700000001</v>
      </c>
      <c r="S28" s="28">
        <v>7976.4001963839382</v>
      </c>
      <c r="T28" s="28"/>
      <c r="U28" s="28">
        <v>8260.7974305533753</v>
      </c>
      <c r="V28" s="251"/>
      <c r="W28" s="28">
        <v>10113.275712999999</v>
      </c>
      <c r="X28" s="143"/>
      <c r="Y28" s="28">
        <v>11318.176228785202</v>
      </c>
      <c r="Z28" s="78"/>
      <c r="AA28" s="28">
        <v>11610.922097368479</v>
      </c>
      <c r="AB28" s="16"/>
      <c r="AC28" s="28">
        <v>11172.795977120148</v>
      </c>
      <c r="AD28" s="16"/>
      <c r="AE28" s="28">
        <v>10407.86293523008</v>
      </c>
      <c r="AF28" s="143"/>
      <c r="AG28" s="28">
        <v>10413.295000681219</v>
      </c>
      <c r="AH28" s="16"/>
      <c r="AI28" s="28">
        <v>10218.704277345632</v>
      </c>
      <c r="AJ28" s="16"/>
      <c r="AK28" s="28">
        <v>9741.0394079101607</v>
      </c>
      <c r="AL28" s="16"/>
      <c r="AM28" s="28">
        <v>9496.4276228102335</v>
      </c>
      <c r="AN28" s="16"/>
      <c r="AO28" s="184">
        <v>10571.668992022074</v>
      </c>
      <c r="AP28" s="16"/>
      <c r="AQ28" s="28">
        <v>10705.389063921575</v>
      </c>
      <c r="AR28" s="16"/>
      <c r="AS28" s="28">
        <v>10507.069468363332</v>
      </c>
      <c r="AT28" s="17"/>
      <c r="AU28" s="28">
        <v>11075.7279364159</v>
      </c>
      <c r="AV28" s="17"/>
      <c r="AW28" s="17"/>
      <c r="AX28" s="16" t="s">
        <v>201</v>
      </c>
    </row>
    <row r="29" spans="1:60" ht="11.25" customHeight="1">
      <c r="A29" s="16"/>
      <c r="B29" s="42">
        <v>13</v>
      </c>
      <c r="C29" s="42"/>
      <c r="D29" s="24" t="s">
        <v>429</v>
      </c>
      <c r="E29" s="28">
        <v>623.09300000000007</v>
      </c>
      <c r="G29" s="28">
        <v>899.029</v>
      </c>
      <c r="I29" s="28">
        <v>849.37299999999993</v>
      </c>
      <c r="K29" s="28">
        <v>965.45144333333337</v>
      </c>
      <c r="M29" s="28">
        <v>1324.731</v>
      </c>
      <c r="O29" s="28">
        <v>1770.4230348196527</v>
      </c>
      <c r="Q29" s="28">
        <v>2256.5840900000003</v>
      </c>
      <c r="S29" s="28">
        <v>1720.312184736842</v>
      </c>
      <c r="T29" s="28"/>
      <c r="U29" s="28">
        <v>1890.3227199999999</v>
      </c>
      <c r="V29" s="251"/>
      <c r="W29" s="28">
        <v>2177.4216910000005</v>
      </c>
      <c r="X29" s="143"/>
      <c r="Y29" s="28">
        <v>1855.07843</v>
      </c>
      <c r="Z29" s="78"/>
      <c r="AA29" s="28">
        <v>1273.8322482000001</v>
      </c>
      <c r="AB29" s="16"/>
      <c r="AC29" s="28">
        <v>1215.7714799999999</v>
      </c>
      <c r="AD29" s="16"/>
      <c r="AE29" s="28">
        <v>1503.4863827289635</v>
      </c>
      <c r="AF29" s="143"/>
      <c r="AG29" s="28">
        <v>1513.8274658586881</v>
      </c>
      <c r="AH29" s="16"/>
      <c r="AI29" s="28">
        <v>1329.5944273949115</v>
      </c>
      <c r="AJ29" s="16"/>
      <c r="AK29" s="262">
        <v>1313.1575901445485</v>
      </c>
      <c r="AL29" s="16"/>
      <c r="AM29" s="262">
        <v>1010.4274172871719</v>
      </c>
      <c r="AN29" s="16"/>
      <c r="AO29" s="184">
        <v>1143.1604468255289</v>
      </c>
      <c r="AP29" s="16"/>
      <c r="AQ29" s="28">
        <v>1403.2466561055865</v>
      </c>
      <c r="AR29" s="16"/>
      <c r="AS29" s="28">
        <v>1433.9022928852116</v>
      </c>
      <c r="AT29" s="17"/>
      <c r="AU29" s="28">
        <v>1835.9613240086701</v>
      </c>
      <c r="AV29" s="17"/>
      <c r="AW29" s="17"/>
      <c r="AX29" s="24" t="s">
        <v>430</v>
      </c>
    </row>
    <row r="30" spans="1:60" ht="11.25" customHeight="1">
      <c r="A30" s="16"/>
      <c r="B30" s="42">
        <v>14</v>
      </c>
      <c r="C30" s="42"/>
      <c r="D30" s="18" t="s">
        <v>68</v>
      </c>
      <c r="E30" s="65">
        <v>57253.137999999999</v>
      </c>
      <c r="F30" s="43"/>
      <c r="G30" s="65">
        <v>55205.343999999997</v>
      </c>
      <c r="H30" s="43"/>
      <c r="I30" s="196">
        <v>54779.626189999995</v>
      </c>
      <c r="J30" s="43"/>
      <c r="K30" s="65">
        <v>57874.039436666666</v>
      </c>
      <c r="L30" s="43"/>
      <c r="M30" s="65">
        <v>60157.406900000002</v>
      </c>
      <c r="N30" s="43"/>
      <c r="O30" s="65">
        <v>63198.091080342543</v>
      </c>
      <c r="P30" s="78"/>
      <c r="Q30" s="65">
        <v>64944.474279999995</v>
      </c>
      <c r="R30" s="43"/>
      <c r="S30" s="65">
        <v>67808.589775383924</v>
      </c>
      <c r="T30" s="43"/>
      <c r="U30" s="65">
        <v>65632.261508886673</v>
      </c>
      <c r="V30" s="252"/>
      <c r="W30" s="65">
        <v>56466.380577999997</v>
      </c>
      <c r="X30" s="143"/>
      <c r="Y30" s="65">
        <v>68328.554950966311</v>
      </c>
      <c r="Z30" s="43"/>
      <c r="AA30" s="65">
        <v>67906.684789368461</v>
      </c>
      <c r="AB30" s="16"/>
      <c r="AC30" s="65">
        <v>65788.695421429366</v>
      </c>
      <c r="AD30" s="16"/>
      <c r="AE30" s="65">
        <v>67046.57778417095</v>
      </c>
      <c r="AF30" s="143"/>
      <c r="AG30" s="65">
        <v>68034.889490097543</v>
      </c>
      <c r="AH30" s="16"/>
      <c r="AI30" s="65">
        <v>64998.634099142044</v>
      </c>
      <c r="AJ30" s="16"/>
      <c r="AK30" s="65">
        <v>67478.709408035706</v>
      </c>
      <c r="AL30" s="16"/>
      <c r="AM30" s="65">
        <v>69350.257157756132</v>
      </c>
      <c r="AN30" s="16"/>
      <c r="AO30" s="196">
        <v>69122.791395014734</v>
      </c>
      <c r="AP30" s="78"/>
      <c r="AQ30" s="65">
        <v>68220.053795176835</v>
      </c>
      <c r="AR30" s="78"/>
      <c r="AS30" s="65">
        <v>69804.992882890889</v>
      </c>
      <c r="AT30" s="17"/>
      <c r="AU30" s="65">
        <v>72458.295917848605</v>
      </c>
      <c r="AV30" s="17"/>
      <c r="AW30" s="17"/>
      <c r="AX30" s="18" t="s">
        <v>274</v>
      </c>
      <c r="AY30" s="82"/>
      <c r="AZ30" s="82"/>
      <c r="BA30" s="82"/>
      <c r="BB30" s="82"/>
      <c r="BC30" s="82"/>
      <c r="BD30" s="82"/>
      <c r="BE30" s="82"/>
      <c r="BF30" s="82"/>
      <c r="BG30" s="82"/>
      <c r="BH30" s="82"/>
    </row>
    <row r="31" spans="1:60" ht="11.25" customHeight="1">
      <c r="A31" s="16"/>
      <c r="B31" s="42">
        <v>15</v>
      </c>
      <c r="C31" s="42"/>
      <c r="D31" s="16" t="s">
        <v>429</v>
      </c>
      <c r="E31" s="28">
        <v>10605.648999999998</v>
      </c>
      <c r="G31" s="28">
        <v>11812.550000000003</v>
      </c>
      <c r="I31" s="184">
        <v>12735.878080000002</v>
      </c>
      <c r="K31" s="28">
        <v>12640.489243333337</v>
      </c>
      <c r="M31" s="28">
        <v>13464.916999999994</v>
      </c>
      <c r="O31" s="28">
        <v>15318.488244819651</v>
      </c>
      <c r="P31" s="78"/>
      <c r="Q31" s="28">
        <v>17701.759770000001</v>
      </c>
      <c r="S31" s="28">
        <v>16414.449854736842</v>
      </c>
      <c r="U31" s="28">
        <v>16621.339736000009</v>
      </c>
      <c r="W31" s="28">
        <v>14621.278086000006</v>
      </c>
      <c r="X31" s="78"/>
      <c r="Y31" s="28">
        <v>15237.879890000004</v>
      </c>
      <c r="Z31" s="78"/>
      <c r="AA31" s="28">
        <v>13262.268778199999</v>
      </c>
      <c r="AB31" s="16"/>
      <c r="AC31" s="28">
        <v>12828.778210000019</v>
      </c>
      <c r="AD31" s="16"/>
      <c r="AE31" s="28">
        <v>9277.7831027289722</v>
      </c>
      <c r="AF31" s="143"/>
      <c r="AG31" s="28">
        <v>9088.9625757882422</v>
      </c>
      <c r="AH31" s="16"/>
      <c r="AI31" s="28">
        <v>8509.3596021733756</v>
      </c>
      <c r="AJ31" s="16"/>
      <c r="AK31" s="262">
        <v>9082.3714637661069</v>
      </c>
      <c r="AL31" s="16"/>
      <c r="AM31" s="262">
        <v>8750.179326867672</v>
      </c>
      <c r="AN31" s="16"/>
      <c r="AO31" s="184">
        <v>8465.3344042217941</v>
      </c>
      <c r="AP31" s="78"/>
      <c r="AQ31" s="28">
        <v>8257.4155829957454</v>
      </c>
      <c r="AR31" s="16"/>
      <c r="AS31" s="28">
        <v>8960.5191324664393</v>
      </c>
      <c r="AT31" s="17"/>
      <c r="AU31" s="28">
        <v>9843.5997624580905</v>
      </c>
      <c r="AV31" s="17"/>
      <c r="AW31" s="17"/>
      <c r="AX31" s="16" t="s">
        <v>430</v>
      </c>
      <c r="AY31" s="82"/>
      <c r="AZ31" s="82"/>
      <c r="BA31" s="82"/>
      <c r="BB31" s="82"/>
      <c r="BC31" s="82"/>
      <c r="BD31" s="82"/>
      <c r="BE31" s="82"/>
      <c r="BF31" s="82"/>
      <c r="BG31" s="82"/>
      <c r="BH31" s="82"/>
    </row>
    <row r="32" spans="1:60" ht="10.5" customHeight="1">
      <c r="A32" s="16"/>
      <c r="B32" s="42"/>
      <c r="C32" s="42"/>
      <c r="D32" s="316" t="s">
        <v>431</v>
      </c>
      <c r="E32" s="75"/>
      <c r="F32" s="75"/>
      <c r="G32" s="75"/>
      <c r="H32" s="75"/>
      <c r="I32" s="75"/>
      <c r="J32" s="75"/>
      <c r="K32" s="75"/>
      <c r="L32" s="75"/>
      <c r="M32" s="75"/>
      <c r="N32" s="75"/>
      <c r="O32" s="75"/>
      <c r="P32" s="75"/>
      <c r="Q32" s="75"/>
      <c r="R32" s="75"/>
      <c r="S32" s="75"/>
      <c r="T32" s="75"/>
      <c r="U32" s="75"/>
      <c r="V32" s="75"/>
      <c r="Y32" s="75"/>
      <c r="Z32" s="75"/>
      <c r="AA32" s="28"/>
      <c r="AB32" s="75"/>
      <c r="AC32" s="75"/>
      <c r="AD32" s="75"/>
      <c r="AE32" s="28"/>
      <c r="AF32" s="75"/>
      <c r="AG32" s="28"/>
      <c r="AH32" s="75"/>
      <c r="AI32" s="28"/>
      <c r="AJ32" s="75"/>
      <c r="AK32" s="28"/>
      <c r="AL32" s="75"/>
      <c r="AM32" s="28"/>
      <c r="AN32" s="75"/>
      <c r="AO32" s="28"/>
      <c r="AP32" s="75"/>
      <c r="AQ32" s="28"/>
      <c r="AR32" s="75"/>
      <c r="AS32" s="17"/>
      <c r="AT32" s="17"/>
      <c r="AU32" s="17"/>
      <c r="AV32" s="17"/>
      <c r="AW32" s="17"/>
      <c r="AX32" s="16" t="s">
        <v>432</v>
      </c>
    </row>
    <row r="33" spans="1:60" ht="6" customHeight="1">
      <c r="A33" s="16"/>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row>
    <row r="34" spans="1:60" ht="6" customHeight="1">
      <c r="C34" s="2"/>
      <c r="D34" s="2"/>
      <c r="E34" s="2"/>
      <c r="F34" s="2"/>
      <c r="G34" s="2"/>
      <c r="H34" s="2"/>
      <c r="I34" s="2"/>
      <c r="J34" s="2"/>
      <c r="K34" s="2"/>
      <c r="L34" s="2"/>
      <c r="M34" s="2"/>
      <c r="N34" s="2"/>
      <c r="O34" s="2"/>
      <c r="P34" s="2"/>
      <c r="Q34" s="2"/>
      <c r="R34" s="2"/>
      <c r="S34" s="2"/>
      <c r="T34" s="2"/>
      <c r="U34" s="2"/>
      <c r="V34" s="2"/>
      <c r="W34" s="2"/>
      <c r="X34" s="2"/>
      <c r="Y34" s="3"/>
      <c r="Z34" s="2"/>
      <c r="AA34" s="2"/>
      <c r="AB34" s="2"/>
      <c r="AC34" s="2"/>
      <c r="AD34" s="2"/>
      <c r="AE34" s="2"/>
      <c r="AF34" s="2"/>
      <c r="AG34" s="2"/>
      <c r="AH34" s="2"/>
      <c r="AI34" s="2"/>
      <c r="AJ34" s="2"/>
      <c r="AK34" s="2"/>
      <c r="AL34" s="2"/>
      <c r="AM34" s="2"/>
      <c r="AN34" s="2"/>
      <c r="AO34" s="2"/>
      <c r="AP34" s="2"/>
      <c r="AQ34" s="2"/>
      <c r="AR34" s="2"/>
    </row>
    <row r="35" spans="1:60" ht="14.25" customHeight="1">
      <c r="B35" s="12" t="s">
        <v>433</v>
      </c>
      <c r="C35" s="12"/>
      <c r="D35" s="10"/>
      <c r="E35" s="10"/>
      <c r="F35" s="10"/>
      <c r="G35" s="10"/>
      <c r="H35" s="10"/>
      <c r="I35" s="10"/>
      <c r="J35" s="10"/>
      <c r="K35" s="10"/>
      <c r="L35" s="10"/>
      <c r="M35" s="10"/>
      <c r="N35" s="10"/>
      <c r="O35" s="10"/>
      <c r="P35" s="10"/>
      <c r="Q35" s="10"/>
      <c r="R35" s="10"/>
      <c r="S35" s="2"/>
      <c r="T35" s="2"/>
      <c r="U35" s="2"/>
      <c r="V35" s="2"/>
      <c r="W35" s="2"/>
      <c r="X35" s="2"/>
      <c r="Y35" s="2"/>
      <c r="Z35" s="2"/>
      <c r="AA35" s="2"/>
      <c r="AB35" s="2"/>
      <c r="AC35" s="2"/>
      <c r="AD35" s="2"/>
      <c r="AE35" s="2"/>
      <c r="AF35" s="2"/>
      <c r="AG35" s="2"/>
      <c r="AH35" s="2"/>
      <c r="AI35" s="2"/>
      <c r="AJ35" s="2"/>
      <c r="AK35" s="2"/>
      <c r="AL35" s="2"/>
      <c r="AM35" s="321"/>
      <c r="AN35" s="2"/>
      <c r="AO35" s="2"/>
      <c r="AP35" s="2"/>
      <c r="AQ35" s="2"/>
      <c r="AR35" s="2"/>
    </row>
    <row r="36" spans="1:60" ht="6"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13"/>
      <c r="AT36" s="13"/>
      <c r="AU36" s="13"/>
      <c r="AV36" s="13"/>
      <c r="AW36" s="13"/>
      <c r="AX36" s="13"/>
    </row>
    <row r="37" spans="1:60" ht="6" customHeight="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row>
    <row r="38" spans="1:60" ht="15" customHeight="1">
      <c r="B38" s="523" t="s">
        <v>185</v>
      </c>
      <c r="C38" s="523"/>
      <c r="D38" s="523"/>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2"/>
      <c r="AD38" s="42"/>
      <c r="AE38" s="42"/>
      <c r="AF38" s="42"/>
      <c r="AG38" s="42"/>
      <c r="AH38" s="42"/>
      <c r="AI38" s="42"/>
      <c r="AJ38" s="42"/>
      <c r="AK38" s="42"/>
      <c r="AL38" s="42"/>
      <c r="AM38" s="497"/>
      <c r="AN38" s="497"/>
      <c r="AO38" s="497"/>
      <c r="AP38" s="497"/>
      <c r="AQ38" s="497"/>
      <c r="AR38" s="497"/>
      <c r="AS38" s="390"/>
      <c r="AT38" s="390"/>
      <c r="AU38" s="390"/>
      <c r="AV38" s="390"/>
      <c r="AW38" s="390"/>
      <c r="AX38" s="387" t="s">
        <v>1159</v>
      </c>
    </row>
    <row r="39" spans="1:60">
      <c r="B39" s="526" t="s">
        <v>434</v>
      </c>
      <c r="C39" s="526"/>
      <c r="D39" s="526"/>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80"/>
      <c r="AD39" s="80"/>
      <c r="AE39" s="80"/>
      <c r="AF39" s="80"/>
      <c r="AG39" s="80"/>
      <c r="AH39" s="80"/>
      <c r="AI39" s="80"/>
      <c r="AJ39" s="80"/>
      <c r="AK39" s="80"/>
      <c r="AL39" s="80"/>
      <c r="AM39" s="514"/>
      <c r="AN39" s="514"/>
      <c r="AO39" s="514"/>
      <c r="AP39" s="514"/>
      <c r="AQ39" s="514"/>
      <c r="AR39" s="514"/>
      <c r="AS39" s="391"/>
      <c r="AT39" s="391"/>
      <c r="AU39" s="391"/>
      <c r="AV39" s="391"/>
      <c r="AW39" s="391"/>
      <c r="AX39" s="388" t="s">
        <v>1160</v>
      </c>
    </row>
    <row r="40" spans="1:60" ht="4.5" customHeight="1">
      <c r="B40" s="42"/>
      <c r="C40" s="42"/>
      <c r="D40" s="16"/>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6"/>
    </row>
    <row r="41" spans="1:60" ht="10.5" customHeight="1">
      <c r="B41" s="42"/>
      <c r="C41" s="42"/>
      <c r="D41" s="63" t="s">
        <v>672</v>
      </c>
      <c r="E41" s="75"/>
      <c r="F41" s="17"/>
      <c r="G41" s="75"/>
      <c r="H41" s="17"/>
      <c r="I41" s="75"/>
      <c r="J41" s="17"/>
      <c r="K41" s="75"/>
      <c r="L41" s="17"/>
      <c r="M41" s="75"/>
      <c r="N41" s="17"/>
      <c r="O41" s="75"/>
      <c r="P41" s="17"/>
      <c r="Q41" s="75"/>
      <c r="R41" s="17"/>
      <c r="S41" s="75"/>
      <c r="T41" s="17"/>
      <c r="U41" s="75"/>
      <c r="V41" s="17"/>
      <c r="W41" s="75"/>
      <c r="X41" s="17"/>
      <c r="Y41" s="75"/>
      <c r="Z41" s="17"/>
      <c r="AA41" s="75"/>
      <c r="AB41" s="17"/>
      <c r="AC41" s="17"/>
      <c r="AD41" s="17"/>
      <c r="AE41" s="75"/>
      <c r="AF41" s="17"/>
      <c r="AG41" s="75"/>
      <c r="AH41" s="17"/>
      <c r="AI41" s="75"/>
      <c r="AJ41" s="17"/>
      <c r="AK41" s="75"/>
      <c r="AL41" s="17"/>
      <c r="AM41" s="75"/>
      <c r="AN41" s="17"/>
      <c r="AO41" s="75"/>
      <c r="AP41" s="17"/>
      <c r="AQ41" s="75"/>
      <c r="AR41" s="17"/>
      <c r="AS41" s="17"/>
      <c r="AT41" s="17"/>
      <c r="AU41" s="17"/>
      <c r="AV41" s="17"/>
      <c r="AW41" s="17"/>
      <c r="AX41" s="63" t="s">
        <v>422</v>
      </c>
    </row>
    <row r="42" spans="1:60" ht="11.25" customHeight="1">
      <c r="B42" s="42">
        <v>16</v>
      </c>
      <c r="C42" s="42"/>
      <c r="D42" s="16" t="s">
        <v>423</v>
      </c>
      <c r="E42" s="28">
        <v>8310.59</v>
      </c>
      <c r="G42" s="28">
        <v>8509.7767640000002</v>
      </c>
      <c r="I42" s="184">
        <v>8202.0906240000004</v>
      </c>
      <c r="K42" s="28">
        <v>8328.0352099999982</v>
      </c>
      <c r="M42" s="28">
        <v>8365.6000289999993</v>
      </c>
      <c r="O42" s="28">
        <v>8922.7132299999994</v>
      </c>
      <c r="P42" s="78"/>
      <c r="Q42" s="28">
        <v>9339.1090661589442</v>
      </c>
      <c r="S42" s="28">
        <v>9824.4742190000015</v>
      </c>
      <c r="T42" s="28"/>
      <c r="U42" s="28">
        <v>9579.2644307000082</v>
      </c>
      <c r="V42" s="28"/>
      <c r="W42" s="28">
        <v>8028.3917348350024</v>
      </c>
      <c r="X42" s="28"/>
      <c r="Y42" s="28">
        <v>8911.3189830649972</v>
      </c>
      <c r="Z42" s="28"/>
      <c r="AA42" s="28">
        <v>8550.1856218295379</v>
      </c>
      <c r="AB42" s="23"/>
      <c r="AC42" s="28">
        <v>8507.2815084795966</v>
      </c>
      <c r="AD42" s="23"/>
      <c r="AE42" s="28">
        <v>8331.1942377620035</v>
      </c>
      <c r="AF42" s="143"/>
      <c r="AG42" s="28">
        <v>8416.4943228653501</v>
      </c>
      <c r="AH42" s="23"/>
      <c r="AI42" s="28">
        <v>7478.1661895392081</v>
      </c>
      <c r="AJ42" s="23"/>
      <c r="AK42" s="28">
        <v>8115.3234684445506</v>
      </c>
      <c r="AL42" s="23"/>
      <c r="AM42" s="28">
        <v>7891.5999285271009</v>
      </c>
      <c r="AN42" s="23"/>
      <c r="AO42" s="184">
        <v>8785.2059540649989</v>
      </c>
      <c r="AP42" s="23"/>
      <c r="AQ42" s="28">
        <v>8334.0979543617705</v>
      </c>
      <c r="AR42" s="23"/>
      <c r="AS42" s="28">
        <v>7940.1936814637611</v>
      </c>
      <c r="AT42" s="75"/>
      <c r="AU42" s="75">
        <v>8580.7703122367202</v>
      </c>
      <c r="AV42" s="75"/>
      <c r="AW42" s="75"/>
      <c r="AX42" s="16" t="s">
        <v>424</v>
      </c>
    </row>
    <row r="43" spans="1:60" ht="11.25" customHeight="1">
      <c r="B43" s="42">
        <v>17</v>
      </c>
      <c r="C43" s="42"/>
      <c r="D43" s="16" t="s">
        <v>425</v>
      </c>
      <c r="E43" s="28">
        <v>1727</v>
      </c>
      <c r="G43" s="28">
        <v>1830.5989999999999</v>
      </c>
      <c r="I43" s="184">
        <v>1833.9860000000001</v>
      </c>
      <c r="K43" s="28">
        <v>2031.297</v>
      </c>
      <c r="M43" s="28">
        <v>2050.2689999999998</v>
      </c>
      <c r="O43" s="28">
        <v>2048.3139999999999</v>
      </c>
      <c r="Q43" s="28">
        <v>2164.476071</v>
      </c>
      <c r="S43" s="28">
        <v>2238.1519819999999</v>
      </c>
      <c r="U43" s="28">
        <v>2331.9744529999998</v>
      </c>
      <c r="W43" s="28">
        <v>1548.2078388999998</v>
      </c>
      <c r="Y43" s="28">
        <v>2173.39</v>
      </c>
      <c r="AA43" s="28">
        <v>2072.5857216000004</v>
      </c>
      <c r="AB43" s="75"/>
      <c r="AC43" s="28">
        <v>1868.5061555</v>
      </c>
      <c r="AD43" s="75"/>
      <c r="AE43" s="28">
        <v>1807.9601235000005</v>
      </c>
      <c r="AF43" s="143"/>
      <c r="AG43" s="28">
        <v>1794.6449457999997</v>
      </c>
      <c r="AH43" s="75"/>
      <c r="AI43" s="28">
        <v>1806.8626736000001</v>
      </c>
      <c r="AJ43" s="75"/>
      <c r="AK43" s="28">
        <v>1718.7529246999998</v>
      </c>
      <c r="AL43" s="75"/>
      <c r="AM43" s="28">
        <v>2082.2286237999997</v>
      </c>
      <c r="AN43" s="75"/>
      <c r="AO43" s="184">
        <v>1632.0153616</v>
      </c>
      <c r="AP43" s="78"/>
      <c r="AQ43" s="28">
        <v>1548.2546695999999</v>
      </c>
      <c r="AR43" s="78"/>
      <c r="AS43" s="28">
        <v>1847.3054326000001</v>
      </c>
      <c r="AT43" s="75"/>
      <c r="AU43" s="75">
        <v>1725.6525224</v>
      </c>
      <c r="AV43" s="75"/>
      <c r="AW43" s="75"/>
      <c r="AX43" s="16" t="s">
        <v>426</v>
      </c>
    </row>
    <row r="44" spans="1:60" ht="11.25" customHeight="1">
      <c r="B44" s="42">
        <v>18</v>
      </c>
      <c r="C44" s="42"/>
      <c r="D44" s="16" t="s">
        <v>193</v>
      </c>
      <c r="E44" s="28">
        <v>2377.0003120000001</v>
      </c>
      <c r="G44" s="28">
        <v>2160.3369429999998</v>
      </c>
      <c r="I44" s="28">
        <v>2367.5386750000002</v>
      </c>
      <c r="K44" s="28">
        <v>2496.7207666666668</v>
      </c>
      <c r="M44" s="28">
        <v>2773.9110589999996</v>
      </c>
      <c r="O44" s="28">
        <v>3153.4780850000002</v>
      </c>
      <c r="Q44" s="28">
        <v>3390.8223730000004</v>
      </c>
      <c r="S44" s="28">
        <v>3618.7122810000001</v>
      </c>
      <c r="U44" s="28">
        <v>3871.2196871181645</v>
      </c>
      <c r="W44" s="28">
        <v>3599.5893994749999</v>
      </c>
      <c r="Y44" s="28">
        <v>3743.5352238959545</v>
      </c>
      <c r="Z44" s="78"/>
      <c r="AA44" s="28">
        <v>3826.3990244284528</v>
      </c>
      <c r="AB44" s="75"/>
      <c r="AC44" s="28">
        <v>3545.8177144869442</v>
      </c>
      <c r="AD44" s="75"/>
      <c r="AE44" s="28">
        <v>2989.5948993392758</v>
      </c>
      <c r="AF44" s="143"/>
      <c r="AG44" s="28">
        <v>3244.5811397545062</v>
      </c>
      <c r="AH44" s="75"/>
      <c r="AI44" s="28">
        <v>3514.8673351355901</v>
      </c>
      <c r="AJ44" s="75"/>
      <c r="AK44" s="28">
        <v>3210.3275122833261</v>
      </c>
      <c r="AL44" s="75"/>
      <c r="AM44" s="28">
        <v>3220.9610153095341</v>
      </c>
      <c r="AN44" s="75"/>
      <c r="AO44" s="184">
        <v>3573.7642934270257</v>
      </c>
      <c r="AP44" s="75"/>
      <c r="AQ44" s="28">
        <v>3690.2130755096146</v>
      </c>
      <c r="AR44" s="75"/>
      <c r="AS44" s="28">
        <v>4283.4072274626487</v>
      </c>
      <c r="AT44" s="75"/>
      <c r="AU44" s="75">
        <v>4138.6586662665104</v>
      </c>
      <c r="AV44" s="75"/>
      <c r="AW44" s="75"/>
      <c r="AX44" s="16" t="s">
        <v>201</v>
      </c>
    </row>
    <row r="45" spans="1:60" ht="11.25" customHeight="1">
      <c r="B45" s="42">
        <v>19</v>
      </c>
      <c r="C45" s="42"/>
      <c r="D45" s="18" t="s">
        <v>674</v>
      </c>
      <c r="E45" s="65">
        <v>12414.590312</v>
      </c>
      <c r="F45" s="43"/>
      <c r="G45" s="65">
        <v>12500.712707000001</v>
      </c>
      <c r="H45" s="43"/>
      <c r="I45" s="196">
        <v>12403.615299000001</v>
      </c>
      <c r="J45" s="43"/>
      <c r="K45" s="65">
        <v>12856.052976666666</v>
      </c>
      <c r="L45" s="43"/>
      <c r="M45" s="65">
        <v>13189.780088</v>
      </c>
      <c r="N45" s="43"/>
      <c r="O45" s="65">
        <v>14124.505315</v>
      </c>
      <c r="P45" s="78"/>
      <c r="Q45" s="65">
        <v>14894.407510158946</v>
      </c>
      <c r="R45" s="43"/>
      <c r="S45" s="65">
        <v>15681.338482000001</v>
      </c>
      <c r="T45" s="43"/>
      <c r="U45" s="65">
        <v>15782.458570818171</v>
      </c>
      <c r="V45" s="43"/>
      <c r="W45" s="65">
        <v>13176.188973210003</v>
      </c>
      <c r="X45" s="43"/>
      <c r="Y45" s="65">
        <v>14828.244206960951</v>
      </c>
      <c r="Z45" s="43"/>
      <c r="AA45" s="65">
        <v>14449.170367857991</v>
      </c>
      <c r="AB45" s="75"/>
      <c r="AC45" s="65">
        <v>13921.60537846654</v>
      </c>
      <c r="AD45" s="75"/>
      <c r="AE45" s="65">
        <v>13128.74926060128</v>
      </c>
      <c r="AF45" s="143"/>
      <c r="AG45" s="65">
        <v>13455.720408419855</v>
      </c>
      <c r="AH45" s="75"/>
      <c r="AI45" s="65">
        <v>12799.896198274801</v>
      </c>
      <c r="AJ45" s="75"/>
      <c r="AK45" s="65">
        <v>13044.403905427876</v>
      </c>
      <c r="AL45" s="75"/>
      <c r="AM45" s="65">
        <v>13194.789567636635</v>
      </c>
      <c r="AN45" s="75"/>
      <c r="AO45" s="196">
        <v>13990.985609092026</v>
      </c>
      <c r="AP45" s="78"/>
      <c r="AQ45" s="65">
        <v>13572.565699471386</v>
      </c>
      <c r="AR45" s="78"/>
      <c r="AS45" s="65">
        <v>14070.90634152641</v>
      </c>
      <c r="AT45" s="75"/>
      <c r="AU45" s="65">
        <v>14445.08150090323</v>
      </c>
      <c r="AV45" s="75"/>
      <c r="AW45" s="75"/>
      <c r="AX45" s="18" t="s">
        <v>84</v>
      </c>
      <c r="AY45" s="82"/>
      <c r="AZ45" s="82"/>
      <c r="BA45" s="82"/>
      <c r="BB45" s="82"/>
      <c r="BC45" s="82"/>
      <c r="BD45" s="82"/>
      <c r="BE45" s="82"/>
      <c r="BF45" s="82"/>
      <c r="BG45" s="82"/>
      <c r="BH45" s="82"/>
    </row>
    <row r="46" spans="1:60" ht="6" customHeight="1">
      <c r="B46" s="34"/>
      <c r="C46" s="34"/>
      <c r="D46" s="56"/>
      <c r="E46" s="83"/>
      <c r="F46" s="130"/>
      <c r="G46" s="83"/>
      <c r="H46" s="130"/>
      <c r="I46" s="83"/>
      <c r="J46" s="130"/>
      <c r="K46" s="83"/>
      <c r="L46" s="130"/>
      <c r="M46" s="83"/>
      <c r="N46" s="130"/>
      <c r="O46" s="83"/>
      <c r="P46" s="130"/>
      <c r="Q46" s="83"/>
      <c r="R46" s="130"/>
      <c r="S46" s="83"/>
      <c r="T46" s="130"/>
      <c r="U46" s="83"/>
      <c r="V46" s="130"/>
      <c r="W46" s="83"/>
      <c r="X46" s="130"/>
      <c r="Y46" s="83"/>
      <c r="Z46" s="130"/>
      <c r="AA46" s="83"/>
      <c r="AB46" s="73"/>
      <c r="AC46" s="83"/>
      <c r="AD46" s="73"/>
      <c r="AE46" s="83"/>
      <c r="AF46" s="83"/>
      <c r="AG46" s="83"/>
      <c r="AH46" s="73"/>
      <c r="AI46" s="83"/>
      <c r="AJ46" s="73"/>
      <c r="AK46" s="83"/>
      <c r="AL46" s="73"/>
      <c r="AM46" s="83"/>
      <c r="AN46" s="73"/>
      <c r="AO46" s="83"/>
      <c r="AP46" s="73"/>
      <c r="AQ46" s="83"/>
      <c r="AR46" s="73"/>
      <c r="AS46" s="83"/>
      <c r="AT46" s="73"/>
      <c r="AU46" s="73"/>
      <c r="AV46" s="73"/>
      <c r="AW46" s="73"/>
      <c r="AX46" s="56"/>
    </row>
    <row r="47" spans="1:60" ht="6" customHeight="1">
      <c r="B47" s="42"/>
      <c r="C47" s="42"/>
      <c r="D47" s="16"/>
      <c r="E47" s="28"/>
      <c r="G47" s="28"/>
      <c r="I47" s="28"/>
      <c r="K47" s="28"/>
      <c r="M47" s="28"/>
      <c r="O47" s="28"/>
      <c r="Q47" s="28"/>
      <c r="S47" s="28"/>
      <c r="U47" s="28"/>
      <c r="W47" s="28"/>
      <c r="Y47" s="28"/>
      <c r="AA47" s="28"/>
      <c r="AB47" s="75"/>
      <c r="AC47" s="28"/>
      <c r="AD47" s="75"/>
      <c r="AE47" s="28"/>
      <c r="AF47" s="143"/>
      <c r="AG47" s="28"/>
      <c r="AH47" s="75"/>
      <c r="AI47" s="28"/>
      <c r="AJ47" s="75"/>
      <c r="AK47" s="28"/>
      <c r="AL47" s="75"/>
      <c r="AM47" s="28"/>
      <c r="AN47" s="75"/>
      <c r="AO47" s="28"/>
      <c r="AP47" s="75"/>
      <c r="AQ47" s="28"/>
      <c r="AR47" s="75"/>
      <c r="AS47" s="28"/>
      <c r="AT47" s="17"/>
      <c r="AU47" s="17"/>
      <c r="AV47" s="17"/>
      <c r="AW47" s="17"/>
      <c r="AX47" s="16"/>
    </row>
    <row r="48" spans="1:60" ht="10.5" customHeight="1">
      <c r="B48" s="42"/>
      <c r="C48" s="42"/>
      <c r="D48" s="63" t="s">
        <v>673</v>
      </c>
      <c r="E48" s="28"/>
      <c r="G48" s="28"/>
      <c r="I48" s="28"/>
      <c r="K48" s="28"/>
      <c r="M48" s="28"/>
      <c r="O48" s="28"/>
      <c r="Q48" s="28"/>
      <c r="S48" s="28"/>
      <c r="U48" s="28"/>
      <c r="W48" s="28"/>
      <c r="Y48" s="28"/>
      <c r="AA48" s="28"/>
      <c r="AB48" s="75"/>
      <c r="AC48" s="28"/>
      <c r="AD48" s="75"/>
      <c r="AE48" s="28"/>
      <c r="AF48" s="143"/>
      <c r="AG48" s="28"/>
      <c r="AH48" s="75"/>
      <c r="AI48" s="28"/>
      <c r="AJ48" s="75"/>
      <c r="AK48" s="28"/>
      <c r="AL48" s="75"/>
      <c r="AM48" s="28"/>
      <c r="AN48" s="75"/>
      <c r="AO48" s="28"/>
      <c r="AP48" s="75"/>
      <c r="AQ48" s="28"/>
      <c r="AR48" s="75"/>
      <c r="AS48" s="28"/>
      <c r="AT48" s="17"/>
      <c r="AU48" s="17"/>
      <c r="AV48" s="17"/>
      <c r="AW48" s="17"/>
      <c r="AX48" s="63" t="s">
        <v>427</v>
      </c>
    </row>
    <row r="49" spans="1:60" ht="11.25" customHeight="1">
      <c r="B49" s="42">
        <v>20</v>
      </c>
      <c r="C49" s="42"/>
      <c r="D49" s="16" t="s">
        <v>423</v>
      </c>
      <c r="E49" s="28">
        <v>5334.9230000000007</v>
      </c>
      <c r="G49" s="28">
        <v>4932.259</v>
      </c>
      <c r="I49" s="184">
        <v>4476.5595460000004</v>
      </c>
      <c r="K49" s="28">
        <v>4781.6172029999998</v>
      </c>
      <c r="M49" s="28">
        <v>4860.3758569999991</v>
      </c>
      <c r="O49" s="28">
        <v>4604.3712719999985</v>
      </c>
      <c r="Q49" s="28">
        <v>4268.8893621402676</v>
      </c>
      <c r="S49" s="28">
        <v>4153.9430194310244</v>
      </c>
      <c r="T49" s="28"/>
      <c r="U49" s="28">
        <v>3891.961866773001</v>
      </c>
      <c r="V49" s="28"/>
      <c r="W49" s="28">
        <v>3350.0220066735569</v>
      </c>
      <c r="X49" s="28"/>
      <c r="Y49" s="28">
        <v>3977.9211396060964</v>
      </c>
      <c r="Z49" s="28"/>
      <c r="AA49" s="28">
        <v>3704.2664494097976</v>
      </c>
      <c r="AB49" s="75"/>
      <c r="AC49" s="28">
        <v>3572.250587764654</v>
      </c>
      <c r="AD49" s="75"/>
      <c r="AE49" s="28">
        <v>3254.1733754609995</v>
      </c>
      <c r="AF49" s="143"/>
      <c r="AG49" s="28">
        <v>3330.0676957580013</v>
      </c>
      <c r="AH49" s="75"/>
      <c r="AI49" s="28">
        <v>3562.2832295763565</v>
      </c>
      <c r="AJ49" s="23"/>
      <c r="AK49" s="28">
        <v>3545.9984766244929</v>
      </c>
      <c r="AL49" s="75"/>
      <c r="AM49" s="28">
        <v>3920.5980672550108</v>
      </c>
      <c r="AN49" s="75"/>
      <c r="AO49" s="184">
        <v>3578.5027618377162</v>
      </c>
      <c r="AP49" s="78"/>
      <c r="AQ49" s="28">
        <v>3337.2809665296058</v>
      </c>
      <c r="AR49" s="75"/>
      <c r="AS49" s="28">
        <v>3509.370805650256</v>
      </c>
      <c r="AT49" s="75"/>
      <c r="AU49" s="28">
        <v>3783.0945382330701</v>
      </c>
      <c r="AV49" s="75"/>
      <c r="AW49" s="75"/>
      <c r="AX49" s="16" t="s">
        <v>424</v>
      </c>
    </row>
    <row r="50" spans="1:60" ht="11.25" customHeight="1">
      <c r="B50" s="42">
        <v>21</v>
      </c>
      <c r="C50" s="42"/>
      <c r="D50" s="16" t="s">
        <v>425</v>
      </c>
      <c r="E50" s="28">
        <v>2029</v>
      </c>
      <c r="G50" s="28">
        <v>1816.5</v>
      </c>
      <c r="I50" s="184">
        <v>1903.0070000000001</v>
      </c>
      <c r="K50" s="28">
        <v>2054.453</v>
      </c>
      <c r="M50" s="28">
        <v>2260.5160000000001</v>
      </c>
      <c r="O50" s="28">
        <v>2351.5769999999998</v>
      </c>
      <c r="Q50" s="28">
        <v>2354.1817620000002</v>
      </c>
      <c r="S50" s="28">
        <v>2363.9804300000001</v>
      </c>
      <c r="U50" s="28">
        <v>2031.355108</v>
      </c>
      <c r="W50" s="28">
        <v>1868.2173238999999</v>
      </c>
      <c r="Y50" s="28">
        <v>2446.3636399999996</v>
      </c>
      <c r="AA50" s="28">
        <v>2597.3402234</v>
      </c>
      <c r="AB50" s="75"/>
      <c r="AC50" s="28">
        <v>2719.4377049</v>
      </c>
      <c r="AD50" s="75"/>
      <c r="AE50" s="28">
        <v>2702.8452792999997</v>
      </c>
      <c r="AF50" s="143"/>
      <c r="AG50" s="28">
        <v>2709.192381899999</v>
      </c>
      <c r="AH50" s="75"/>
      <c r="AI50" s="28">
        <v>2589.0455357999999</v>
      </c>
      <c r="AJ50" s="75"/>
      <c r="AK50" s="28">
        <v>3056.3252054999998</v>
      </c>
      <c r="AL50" s="75"/>
      <c r="AM50" s="28">
        <v>3011.0381084999995</v>
      </c>
      <c r="AN50" s="75"/>
      <c r="AO50" s="28">
        <v>3019.3500357999992</v>
      </c>
      <c r="AP50" s="78"/>
      <c r="AQ50" s="28">
        <v>3067.0187884000002</v>
      </c>
      <c r="AR50" s="75"/>
      <c r="AS50" s="28">
        <v>2807.4303937999998</v>
      </c>
      <c r="AT50" s="75"/>
      <c r="AU50" s="28">
        <v>2977.4610962000002</v>
      </c>
      <c r="AV50" s="75"/>
      <c r="AW50" s="75"/>
      <c r="AX50" s="16" t="s">
        <v>426</v>
      </c>
    </row>
    <row r="51" spans="1:60" ht="11.25" customHeight="1">
      <c r="B51" s="42">
        <v>22</v>
      </c>
      <c r="C51" s="42"/>
      <c r="D51" s="16" t="s">
        <v>193</v>
      </c>
      <c r="E51" s="28">
        <v>304.52331299999997</v>
      </c>
      <c r="G51" s="28">
        <v>297.84922700000004</v>
      </c>
      <c r="I51" s="28">
        <v>413.45740900000004</v>
      </c>
      <c r="K51" s="28">
        <v>477.47364899999997</v>
      </c>
      <c r="M51" s="28">
        <v>545.56483800000012</v>
      </c>
      <c r="O51" s="28">
        <v>594.43309049182983</v>
      </c>
      <c r="Q51" s="28">
        <v>753.95396180000012</v>
      </c>
      <c r="S51" s="28">
        <v>1051.0461719984946</v>
      </c>
      <c r="U51" s="28">
        <v>1217.9967386154653</v>
      </c>
      <c r="V51" s="251"/>
      <c r="W51" s="28">
        <v>1994.3543796321051</v>
      </c>
      <c r="X51" s="143"/>
      <c r="Y51" s="28">
        <v>2211.2505602965325</v>
      </c>
      <c r="Z51" s="78"/>
      <c r="AA51" s="28">
        <v>2113.5366336817083</v>
      </c>
      <c r="AB51" s="75"/>
      <c r="AC51" s="28">
        <v>1829.3459796231632</v>
      </c>
      <c r="AD51" s="75"/>
      <c r="AE51" s="28">
        <v>1884.206596040076</v>
      </c>
      <c r="AF51" s="143"/>
      <c r="AG51" s="28">
        <v>1801.3479330319999</v>
      </c>
      <c r="AH51" s="75"/>
      <c r="AI51" s="28">
        <v>1748.0914130849999</v>
      </c>
      <c r="AJ51" s="23"/>
      <c r="AK51" s="28">
        <v>1759.0280252075088</v>
      </c>
      <c r="AL51" s="75"/>
      <c r="AM51" s="28">
        <v>1711.7500215133703</v>
      </c>
      <c r="AN51" s="75"/>
      <c r="AO51" s="184">
        <v>2205.4676624020581</v>
      </c>
      <c r="AP51" s="75"/>
      <c r="AQ51" s="28">
        <v>2245.2002200930519</v>
      </c>
      <c r="AR51" s="75"/>
      <c r="AS51" s="28">
        <v>1706.1904380379628</v>
      </c>
      <c r="AT51" s="17"/>
      <c r="AU51" s="28">
        <v>2243.2500301506202</v>
      </c>
      <c r="AV51" s="17"/>
      <c r="AW51" s="17"/>
      <c r="AX51" s="16" t="s">
        <v>201</v>
      </c>
    </row>
    <row r="52" spans="1:60" ht="11.25" customHeight="1">
      <c r="B52" s="42">
        <v>23</v>
      </c>
      <c r="C52" s="42"/>
      <c r="D52" s="18" t="s">
        <v>676</v>
      </c>
      <c r="E52" s="65">
        <v>7668.4463130000004</v>
      </c>
      <c r="F52" s="43"/>
      <c r="G52" s="65">
        <v>7046.6082269999997</v>
      </c>
      <c r="H52" s="43"/>
      <c r="I52" s="196">
        <v>6793.0239550000006</v>
      </c>
      <c r="J52" s="43"/>
      <c r="K52" s="65">
        <v>7313.5438519999989</v>
      </c>
      <c r="L52" s="43"/>
      <c r="M52" s="65">
        <v>7666.4566949999989</v>
      </c>
      <c r="N52" s="43"/>
      <c r="O52" s="65">
        <v>7550.3813624918284</v>
      </c>
      <c r="P52" s="43"/>
      <c r="Q52" s="65">
        <v>7377.0250859402677</v>
      </c>
      <c r="R52" s="43"/>
      <c r="S52" s="65">
        <v>7568.9696214295191</v>
      </c>
      <c r="T52" s="43"/>
      <c r="U52" s="65">
        <v>7141.3137133884657</v>
      </c>
      <c r="V52" s="252"/>
      <c r="W52" s="65">
        <v>7212.5937102056623</v>
      </c>
      <c r="X52" s="143"/>
      <c r="Y52" s="65">
        <v>8635.535339902628</v>
      </c>
      <c r="Z52" s="43"/>
      <c r="AA52" s="65">
        <v>8415.1433064915054</v>
      </c>
      <c r="AB52" s="75"/>
      <c r="AC52" s="65">
        <v>8121.0342722878167</v>
      </c>
      <c r="AD52" s="75"/>
      <c r="AE52" s="65">
        <v>7841.2252508010752</v>
      </c>
      <c r="AF52" s="143"/>
      <c r="AG52" s="65">
        <v>7840.6080106900017</v>
      </c>
      <c r="AH52" s="75"/>
      <c r="AI52" s="261">
        <v>7899.420178461357</v>
      </c>
      <c r="AJ52" s="23"/>
      <c r="AK52" s="65">
        <v>8361.3517073320018</v>
      </c>
      <c r="AL52" s="75"/>
      <c r="AM52" s="65">
        <v>8643.3861972683808</v>
      </c>
      <c r="AN52" s="75"/>
      <c r="AO52" s="196">
        <v>8803.320460039773</v>
      </c>
      <c r="AP52" s="78"/>
      <c r="AQ52" s="65">
        <v>8649.499975022658</v>
      </c>
      <c r="AR52" s="75"/>
      <c r="AS52" s="65">
        <v>8022.9916374882187</v>
      </c>
      <c r="AT52" s="75"/>
      <c r="AU52" s="65">
        <v>9003.8056645836914</v>
      </c>
      <c r="AV52" s="75"/>
      <c r="AW52" s="75"/>
      <c r="AX52" s="18" t="s">
        <v>84</v>
      </c>
      <c r="AY52" s="82"/>
      <c r="AZ52" s="82"/>
      <c r="BA52" s="82"/>
      <c r="BB52" s="82"/>
      <c r="BC52" s="82"/>
      <c r="BD52" s="82"/>
      <c r="BE52" s="82"/>
      <c r="BF52" s="82"/>
      <c r="BG52" s="82"/>
      <c r="BH52" s="82"/>
    </row>
    <row r="53" spans="1:60" ht="6" customHeight="1">
      <c r="B53" s="34"/>
      <c r="C53" s="34"/>
      <c r="D53" s="56"/>
      <c r="E53" s="83"/>
      <c r="F53" s="130"/>
      <c r="G53" s="83"/>
      <c r="H53" s="130"/>
      <c r="I53" s="83"/>
      <c r="J53" s="130"/>
      <c r="K53" s="83"/>
      <c r="L53" s="130"/>
      <c r="M53" s="83"/>
      <c r="N53" s="130"/>
      <c r="O53" s="83"/>
      <c r="P53" s="130"/>
      <c r="Q53" s="83"/>
      <c r="R53" s="130"/>
      <c r="S53" s="83"/>
      <c r="T53" s="130"/>
      <c r="U53" s="83"/>
      <c r="V53" s="130"/>
      <c r="W53" s="83"/>
      <c r="X53" s="144"/>
      <c r="Y53" s="83"/>
      <c r="Z53" s="130"/>
      <c r="AA53" s="83"/>
      <c r="AB53" s="73"/>
      <c r="AC53" s="83"/>
      <c r="AD53" s="73"/>
      <c r="AE53" s="83"/>
      <c r="AF53" s="83"/>
      <c r="AG53" s="83"/>
      <c r="AH53" s="73"/>
      <c r="AI53" s="83"/>
      <c r="AJ53" s="73"/>
      <c r="AK53" s="83"/>
      <c r="AL53" s="73"/>
      <c r="AM53" s="83"/>
      <c r="AN53" s="73"/>
      <c r="AO53" s="83"/>
      <c r="AP53" s="73"/>
      <c r="AQ53" s="83"/>
      <c r="AR53" s="73"/>
      <c r="AS53" s="83"/>
      <c r="AT53" s="73"/>
      <c r="AU53" s="73"/>
      <c r="AV53" s="73"/>
      <c r="AW53" s="73"/>
      <c r="AX53" s="56"/>
    </row>
    <row r="54" spans="1:60" ht="6" customHeight="1">
      <c r="B54" s="42"/>
      <c r="C54" s="42"/>
      <c r="D54" s="16"/>
      <c r="E54" s="28"/>
      <c r="G54" s="28"/>
      <c r="I54" s="28"/>
      <c r="K54" s="28"/>
      <c r="M54" s="28"/>
      <c r="O54" s="28"/>
      <c r="Q54" s="28"/>
      <c r="S54" s="28"/>
      <c r="U54" s="28"/>
      <c r="W54" s="28"/>
      <c r="Y54" s="28"/>
      <c r="AA54" s="28"/>
      <c r="AB54" s="75"/>
      <c r="AC54" s="28"/>
      <c r="AD54" s="75"/>
      <c r="AE54" s="28"/>
      <c r="AF54" s="143"/>
      <c r="AG54" s="28"/>
      <c r="AH54" s="75"/>
      <c r="AI54" s="28"/>
      <c r="AJ54" s="75"/>
      <c r="AK54" s="28"/>
      <c r="AL54" s="75"/>
      <c r="AM54" s="28"/>
      <c r="AN54" s="75"/>
      <c r="AO54" s="28"/>
      <c r="AP54" s="75"/>
      <c r="AQ54" s="28"/>
      <c r="AR54" s="75"/>
      <c r="AS54" s="28"/>
      <c r="AT54" s="17"/>
      <c r="AU54" s="17"/>
      <c r="AV54" s="17"/>
      <c r="AW54" s="17"/>
      <c r="AX54" s="16"/>
    </row>
    <row r="55" spans="1:60" ht="10.5" customHeight="1">
      <c r="B55" s="42"/>
      <c r="C55" s="42"/>
      <c r="D55" s="63" t="s">
        <v>675</v>
      </c>
      <c r="E55" s="28"/>
      <c r="G55" s="28"/>
      <c r="I55" s="28"/>
      <c r="K55" s="28"/>
      <c r="M55" s="28"/>
      <c r="O55" s="28"/>
      <c r="Q55" s="28"/>
      <c r="S55" s="28"/>
      <c r="U55" s="28"/>
      <c r="W55" s="28"/>
      <c r="Y55" s="28"/>
      <c r="AA55" s="28"/>
      <c r="AB55" s="75"/>
      <c r="AC55" s="28"/>
      <c r="AD55" s="75"/>
      <c r="AE55" s="28"/>
      <c r="AF55" s="143"/>
      <c r="AG55" s="28"/>
      <c r="AH55" s="75"/>
      <c r="AI55" s="28"/>
      <c r="AJ55" s="75"/>
      <c r="AK55" s="28"/>
      <c r="AL55" s="75"/>
      <c r="AM55" s="28"/>
      <c r="AN55" s="75"/>
      <c r="AO55" s="28"/>
      <c r="AP55" s="28"/>
      <c r="AQ55" s="28"/>
      <c r="AR55" s="75"/>
      <c r="AS55" s="28"/>
      <c r="AT55" s="17"/>
      <c r="AU55" s="17"/>
      <c r="AV55" s="17"/>
      <c r="AW55" s="17"/>
      <c r="AX55" s="63" t="s">
        <v>428</v>
      </c>
      <c r="AY55" s="82"/>
      <c r="AZ55" s="82"/>
      <c r="BA55" s="82"/>
    </row>
    <row r="56" spans="1:60" ht="11.25" customHeight="1">
      <c r="B56" s="42">
        <v>24</v>
      </c>
      <c r="C56" s="42"/>
      <c r="D56" s="16" t="s">
        <v>423</v>
      </c>
      <c r="E56" s="28">
        <v>13645.513000000001</v>
      </c>
      <c r="G56" s="28">
        <v>13442.035764</v>
      </c>
      <c r="I56" s="184">
        <v>12678.650170000001</v>
      </c>
      <c r="K56" s="28">
        <v>13109.652412999998</v>
      </c>
      <c r="M56" s="28">
        <v>13225.975885999998</v>
      </c>
      <c r="O56" s="28">
        <v>13527.084501999998</v>
      </c>
      <c r="Q56" s="28">
        <v>13607.998428299212</v>
      </c>
      <c r="S56" s="28">
        <v>13978.417238431026</v>
      </c>
      <c r="T56" s="28"/>
      <c r="U56" s="28">
        <v>13471.226297473009</v>
      </c>
      <c r="V56" s="28"/>
      <c r="W56" s="28">
        <v>11378.413741508559</v>
      </c>
      <c r="X56" s="28"/>
      <c r="Y56" s="28">
        <v>12889.240122671094</v>
      </c>
      <c r="Z56" s="28"/>
      <c r="AA56" s="28">
        <v>12254.452071239335</v>
      </c>
      <c r="AB56" s="16"/>
      <c r="AC56" s="28">
        <v>12079.532096244253</v>
      </c>
      <c r="AD56" s="16"/>
      <c r="AE56" s="28">
        <v>11585.367613223003</v>
      </c>
      <c r="AF56" s="143"/>
      <c r="AG56" s="28">
        <v>11746.56201862335</v>
      </c>
      <c r="AH56" s="75"/>
      <c r="AI56" s="28">
        <v>11040.449419115566</v>
      </c>
      <c r="AJ56" s="23"/>
      <c r="AK56" s="262">
        <v>11661.321945069043</v>
      </c>
      <c r="AL56" s="75"/>
      <c r="AM56" s="262">
        <v>11812.197995782111</v>
      </c>
      <c r="AN56" s="75"/>
      <c r="AO56" s="184">
        <v>12363.708715902714</v>
      </c>
      <c r="AP56" s="78"/>
      <c r="AQ56" s="28">
        <v>11671.378920891377</v>
      </c>
      <c r="AR56" s="75"/>
      <c r="AS56" s="28">
        <v>11449.564487114018</v>
      </c>
      <c r="AT56" s="17"/>
      <c r="AU56" s="28">
        <v>12363.864850469799</v>
      </c>
      <c r="AV56" s="17"/>
      <c r="AW56" s="17"/>
      <c r="AX56" s="16" t="s">
        <v>424</v>
      </c>
    </row>
    <row r="57" spans="1:60" ht="11.25" customHeight="1">
      <c r="B57" s="42">
        <v>25</v>
      </c>
      <c r="C57" s="42"/>
      <c r="D57" s="24" t="s">
        <v>429</v>
      </c>
      <c r="E57" s="28">
        <v>4403.4960000000001</v>
      </c>
      <c r="G57" s="28">
        <v>4882.219000000001</v>
      </c>
      <c r="I57" s="184">
        <v>5217.0968469999989</v>
      </c>
      <c r="K57" s="28">
        <v>5287.8909370000001</v>
      </c>
      <c r="M57" s="28">
        <v>5499.5046360000015</v>
      </c>
      <c r="O57" s="28">
        <v>6076.4268609999999</v>
      </c>
      <c r="Q57" s="28">
        <v>6654.9373019999994</v>
      </c>
      <c r="S57" s="28">
        <v>6484.4540770000012</v>
      </c>
      <c r="T57" s="28"/>
      <c r="U57" s="28">
        <v>6442.6138832046627</v>
      </c>
      <c r="V57" s="28"/>
      <c r="W57" s="28">
        <v>5255.0344809850012</v>
      </c>
      <c r="X57" s="28"/>
      <c r="Y57" s="28">
        <v>5991.7558900880922</v>
      </c>
      <c r="Z57" s="28"/>
      <c r="AA57" s="28">
        <v>5185.5135194899976</v>
      </c>
      <c r="AB57" s="16"/>
      <c r="AC57" s="28">
        <v>4948.0604183566657</v>
      </c>
      <c r="AD57" s="16"/>
      <c r="AE57" s="28">
        <v>3991.3738108400003</v>
      </c>
      <c r="AF57" s="143"/>
      <c r="AG57" s="28">
        <v>3662.3107945400043</v>
      </c>
      <c r="AH57" s="75"/>
      <c r="AI57" s="28">
        <v>3236.1688318767215</v>
      </c>
      <c r="AJ57" s="23"/>
      <c r="AK57" s="28">
        <v>3835.9589915092433</v>
      </c>
      <c r="AL57" s="75"/>
      <c r="AM57" s="28">
        <v>4188.1485178563107</v>
      </c>
      <c r="AN57" s="75"/>
      <c r="AO57" s="184">
        <v>3790.0429711962306</v>
      </c>
      <c r="AP57" s="78"/>
      <c r="AQ57" s="28">
        <v>3456.7751223098021</v>
      </c>
      <c r="AR57" s="75"/>
      <c r="AS57" s="28">
        <v>3409.9453532669659</v>
      </c>
      <c r="AT57" s="17"/>
      <c r="AU57" s="28">
        <v>3773.7543949136898</v>
      </c>
      <c r="AV57" s="17"/>
      <c r="AW57" s="17"/>
      <c r="AX57" s="24" t="s">
        <v>430</v>
      </c>
    </row>
    <row r="58" spans="1:60" ht="11.25" customHeight="1">
      <c r="A58" s="2"/>
      <c r="B58" s="42">
        <v>26</v>
      </c>
      <c r="C58" s="42"/>
      <c r="D58" s="16" t="s">
        <v>425</v>
      </c>
      <c r="E58" s="28">
        <v>3756</v>
      </c>
      <c r="G58" s="28">
        <v>3647.0990000000002</v>
      </c>
      <c r="I58" s="184">
        <v>3736.9930000000004</v>
      </c>
      <c r="K58" s="28">
        <v>4085.75</v>
      </c>
      <c r="M58" s="28">
        <v>4310.7849999999999</v>
      </c>
      <c r="O58" s="28">
        <v>4399.8909999999996</v>
      </c>
      <c r="Q58" s="28">
        <v>4518.6578330000002</v>
      </c>
      <c r="S58" s="28">
        <v>4602.1324119999999</v>
      </c>
      <c r="T58" s="28"/>
      <c r="U58" s="28">
        <v>4363.3295609999996</v>
      </c>
      <c r="V58" s="28"/>
      <c r="W58" s="28">
        <v>3416.4251627999997</v>
      </c>
      <c r="X58" s="28"/>
      <c r="Y58" s="28">
        <v>4619.753639999999</v>
      </c>
      <c r="Z58" s="28"/>
      <c r="AA58" s="28">
        <v>4669.9259450000009</v>
      </c>
      <c r="AB58" s="16"/>
      <c r="AC58" s="28">
        <v>4587.9438603999997</v>
      </c>
      <c r="AD58" s="16"/>
      <c r="AE58" s="28">
        <v>4510.8054028000006</v>
      </c>
      <c r="AF58" s="143"/>
      <c r="AG58" s="28">
        <v>4503.8373276999992</v>
      </c>
      <c r="AH58" s="75"/>
      <c r="AI58" s="28">
        <v>4395.9082094000005</v>
      </c>
      <c r="AJ58" s="75"/>
      <c r="AK58" s="28">
        <v>4775.0781301999996</v>
      </c>
      <c r="AL58" s="75"/>
      <c r="AM58" s="28">
        <v>5093.2667322999987</v>
      </c>
      <c r="AN58" s="75"/>
      <c r="AO58" s="184">
        <v>4651.3653973999999</v>
      </c>
      <c r="AP58" s="78"/>
      <c r="AQ58" s="28">
        <v>4615.2734579999997</v>
      </c>
      <c r="AR58" s="78"/>
      <c r="AS58" s="28">
        <v>4654.7358264000004</v>
      </c>
      <c r="AT58" s="17"/>
      <c r="AU58" s="28">
        <v>4703.1136186000003</v>
      </c>
      <c r="AV58" s="17"/>
      <c r="AW58" s="17"/>
      <c r="AX58" s="16" t="s">
        <v>426</v>
      </c>
    </row>
    <row r="59" spans="1:60" ht="11.25" customHeight="1">
      <c r="A59" s="2"/>
      <c r="B59" s="42">
        <v>27</v>
      </c>
      <c r="C59" s="42"/>
      <c r="D59" s="16" t="s">
        <v>193</v>
      </c>
      <c r="E59" s="28">
        <v>2681.5236250000003</v>
      </c>
      <c r="G59" s="28">
        <v>2458.1861699999999</v>
      </c>
      <c r="I59" s="28">
        <v>2780.9960840000003</v>
      </c>
      <c r="K59" s="28">
        <v>2974.1944156666668</v>
      </c>
      <c r="M59" s="28">
        <v>3319.4758969999998</v>
      </c>
      <c r="O59" s="28">
        <v>3747.9111754918299</v>
      </c>
      <c r="Q59" s="28">
        <v>4144.7763348000008</v>
      </c>
      <c r="S59" s="28">
        <v>4669.7584529984942</v>
      </c>
      <c r="T59" s="28"/>
      <c r="U59" s="28">
        <v>5089.2164257336299</v>
      </c>
      <c r="V59" s="251"/>
      <c r="W59" s="28">
        <v>5593.943779107105</v>
      </c>
      <c r="X59" s="143"/>
      <c r="Y59" s="28">
        <v>5954.785784192487</v>
      </c>
      <c r="Z59" s="78"/>
      <c r="AA59" s="28">
        <v>5939.9356581101611</v>
      </c>
      <c r="AB59" s="16"/>
      <c r="AC59" s="28">
        <v>5375.1636941101078</v>
      </c>
      <c r="AD59" s="16"/>
      <c r="AE59" s="28">
        <v>4873.8014953793518</v>
      </c>
      <c r="AF59" s="143"/>
      <c r="AG59" s="28">
        <v>5045.9290727865064</v>
      </c>
      <c r="AH59" s="75"/>
      <c r="AI59" s="262">
        <v>5262.9587482205898</v>
      </c>
      <c r="AJ59" s="23"/>
      <c r="AK59" s="262">
        <v>4969.3555374908346</v>
      </c>
      <c r="AL59" s="75"/>
      <c r="AM59" s="28">
        <v>4932.7110368229041</v>
      </c>
      <c r="AN59" s="75"/>
      <c r="AO59" s="184">
        <v>5779.2319558290837</v>
      </c>
      <c r="AP59" s="75"/>
      <c r="AQ59" s="28">
        <v>5935.413295602666</v>
      </c>
      <c r="AR59" s="75"/>
      <c r="AS59" s="28">
        <v>5989.5976655006116</v>
      </c>
      <c r="AT59" s="17"/>
      <c r="AU59" s="262">
        <v>6381.9086964171302</v>
      </c>
      <c r="AV59" s="17"/>
      <c r="AW59" s="17"/>
      <c r="AX59" s="16" t="s">
        <v>201</v>
      </c>
    </row>
    <row r="60" spans="1:60" ht="11.25" customHeight="1">
      <c r="A60" s="2"/>
      <c r="B60" s="42">
        <v>28</v>
      </c>
      <c r="C60" s="42"/>
      <c r="D60" s="24" t="s">
        <v>429</v>
      </c>
      <c r="E60" s="28">
        <v>275.863</v>
      </c>
      <c r="G60" s="28">
        <v>360.77100000000002</v>
      </c>
      <c r="I60" s="28">
        <v>397.24130000000002</v>
      </c>
      <c r="K60" s="28">
        <v>393.23359166666671</v>
      </c>
      <c r="M60" s="28">
        <v>564.67496200000005</v>
      </c>
      <c r="O60" s="28">
        <v>850.3825937741052</v>
      </c>
      <c r="Q60" s="28">
        <v>981.42022900000006</v>
      </c>
      <c r="S60" s="28">
        <v>775.96005457894739</v>
      </c>
      <c r="T60" s="28"/>
      <c r="U60" s="28">
        <v>837.0421186104943</v>
      </c>
      <c r="V60" s="251"/>
      <c r="W60" s="28">
        <v>821.62770898499991</v>
      </c>
      <c r="X60" s="143"/>
      <c r="Y60" s="28">
        <v>684.09342502999993</v>
      </c>
      <c r="Z60" s="78"/>
      <c r="AA60" s="28">
        <v>389.92570853000001</v>
      </c>
      <c r="AB60" s="16"/>
      <c r="AC60" s="28">
        <v>381.25617691999997</v>
      </c>
      <c r="AD60" s="16"/>
      <c r="AE60" s="28">
        <v>595.86531548732114</v>
      </c>
      <c r="AF60" s="143"/>
      <c r="AG60" s="28">
        <v>549.06512953364927</v>
      </c>
      <c r="AH60" s="75"/>
      <c r="AI60" s="28">
        <v>421.78672928686899</v>
      </c>
      <c r="AJ60" s="75"/>
      <c r="AK60" s="28">
        <v>302.49038341039403</v>
      </c>
      <c r="AL60" s="75"/>
      <c r="AM60" s="28">
        <v>290.10331607734588</v>
      </c>
      <c r="AN60" s="75"/>
      <c r="AO60" s="184">
        <v>330.2567509330554</v>
      </c>
      <c r="AP60" s="75"/>
      <c r="AQ60" s="28">
        <v>447.29081021242723</v>
      </c>
      <c r="AR60" s="75"/>
      <c r="AS60" s="28">
        <v>455.59213426056817</v>
      </c>
      <c r="AT60" s="17"/>
      <c r="AU60" s="28">
        <v>571.65459992731098</v>
      </c>
      <c r="AV60" s="17"/>
      <c r="AW60" s="17"/>
      <c r="AX60" s="24" t="s">
        <v>430</v>
      </c>
    </row>
    <row r="61" spans="1:60" ht="11.25" customHeight="1">
      <c r="A61" s="2"/>
      <c r="B61" s="42">
        <v>29</v>
      </c>
      <c r="C61" s="42"/>
      <c r="D61" s="18" t="s">
        <v>68</v>
      </c>
      <c r="E61" s="65">
        <v>20083.036625000001</v>
      </c>
      <c r="F61" s="43"/>
      <c r="G61" s="65">
        <v>19547.320933999999</v>
      </c>
      <c r="H61" s="43"/>
      <c r="I61" s="196">
        <v>19196.639254000002</v>
      </c>
      <c r="J61" s="43"/>
      <c r="K61" s="65">
        <v>20169.596828666665</v>
      </c>
      <c r="L61" s="43"/>
      <c r="M61" s="65">
        <v>20856.236783</v>
      </c>
      <c r="N61" s="43"/>
      <c r="O61" s="65">
        <v>21674.886677491828</v>
      </c>
      <c r="P61" s="78"/>
      <c r="Q61" s="65">
        <v>22271.432596099214</v>
      </c>
      <c r="R61" s="43"/>
      <c r="S61" s="65">
        <v>23250.308103429517</v>
      </c>
      <c r="T61" s="43"/>
      <c r="U61" s="65">
        <v>22923.77228420664</v>
      </c>
      <c r="V61" s="252"/>
      <c r="W61" s="65">
        <v>20388.782683415666</v>
      </c>
      <c r="X61" s="143"/>
      <c r="Y61" s="65">
        <v>23463.779546863581</v>
      </c>
      <c r="Z61" s="43"/>
      <c r="AA61" s="65">
        <v>22864.313674349498</v>
      </c>
      <c r="AB61" s="16"/>
      <c r="AC61" s="65">
        <v>22042.639650754358</v>
      </c>
      <c r="AD61" s="16"/>
      <c r="AE61" s="65">
        <v>20969.97451140235</v>
      </c>
      <c r="AF61" s="143"/>
      <c r="AG61" s="65">
        <v>21296.328419109857</v>
      </c>
      <c r="AH61" s="23"/>
      <c r="AI61" s="261">
        <v>20699.316376736151</v>
      </c>
      <c r="AJ61" s="23"/>
      <c r="AK61" s="65">
        <v>21405.755612759873</v>
      </c>
      <c r="AL61" s="23"/>
      <c r="AM61" s="65">
        <v>21838.175764905012</v>
      </c>
      <c r="AN61" s="23"/>
      <c r="AO61" s="196">
        <v>22794.306069131799</v>
      </c>
      <c r="AP61" s="78"/>
      <c r="AQ61" s="65">
        <v>22222.065674494042</v>
      </c>
      <c r="AR61" s="78"/>
      <c r="AS61" s="65">
        <v>22093.897979014626</v>
      </c>
      <c r="AT61" s="17"/>
      <c r="AU61" s="65">
        <v>23448.887165486929</v>
      </c>
      <c r="AV61" s="17"/>
      <c r="AW61" s="17"/>
      <c r="AX61" s="18" t="s">
        <v>274</v>
      </c>
      <c r="AY61" s="82"/>
      <c r="AZ61" s="82"/>
      <c r="BA61" s="82"/>
      <c r="BB61" s="82"/>
      <c r="BC61" s="82"/>
      <c r="BD61" s="82"/>
      <c r="BE61" s="82"/>
      <c r="BF61" s="82"/>
      <c r="BG61" s="82"/>
      <c r="BH61" s="82"/>
    </row>
    <row r="62" spans="1:60" ht="11.25" customHeight="1">
      <c r="A62" s="2"/>
      <c r="B62" s="42">
        <v>30</v>
      </c>
      <c r="C62" s="42"/>
      <c r="D62" s="16" t="s">
        <v>429</v>
      </c>
      <c r="E62" s="28">
        <v>4679.3590000000004</v>
      </c>
      <c r="G62" s="28">
        <v>5242.99</v>
      </c>
      <c r="I62" s="184">
        <v>5614.3381470000004</v>
      </c>
      <c r="K62" s="28">
        <v>5681.1245286666672</v>
      </c>
      <c r="M62" s="28">
        <v>6064.1795980000006</v>
      </c>
      <c r="O62" s="28">
        <v>6926.8094547741021</v>
      </c>
      <c r="P62" s="78"/>
      <c r="Q62" s="28">
        <v>7636.3575309999987</v>
      </c>
      <c r="S62" s="28">
        <v>7260.4141315789466</v>
      </c>
      <c r="U62" s="28">
        <v>7279.6560018151567</v>
      </c>
      <c r="W62" s="28">
        <v>6076.6621899700003</v>
      </c>
      <c r="X62" s="78"/>
      <c r="Y62" s="28">
        <v>6675.8493151180937</v>
      </c>
      <c r="Z62" s="78"/>
      <c r="AA62" s="28">
        <v>5575.4392280199991</v>
      </c>
      <c r="AB62" s="16"/>
      <c r="AC62" s="28">
        <v>5329.3165952766676</v>
      </c>
      <c r="AD62" s="16"/>
      <c r="AE62" s="28">
        <v>4587.2391263273194</v>
      </c>
      <c r="AF62" s="143"/>
      <c r="AG62" s="28">
        <v>4211.3759240736526</v>
      </c>
      <c r="AH62" s="23"/>
      <c r="AI62" s="28">
        <v>3657.9555611635906</v>
      </c>
      <c r="AJ62" s="23"/>
      <c r="AK62" s="262">
        <v>4138.4493749196372</v>
      </c>
      <c r="AL62" s="23"/>
      <c r="AM62" s="262">
        <v>4478.2518339336566</v>
      </c>
      <c r="AN62" s="23"/>
      <c r="AO62" s="184">
        <v>4120.2997221292862</v>
      </c>
      <c r="AP62" s="78"/>
      <c r="AQ62" s="28">
        <v>3904.0659325222296</v>
      </c>
      <c r="AR62" s="23"/>
      <c r="AS62" s="28">
        <v>3865.5374875275338</v>
      </c>
      <c r="AT62" s="17"/>
      <c r="AU62" s="28">
        <v>4345.4089948410001</v>
      </c>
      <c r="AV62" s="17"/>
      <c r="AW62" s="17"/>
      <c r="AX62" s="16" t="s">
        <v>430</v>
      </c>
      <c r="AY62" s="82"/>
      <c r="AZ62" s="82"/>
      <c r="BA62" s="82"/>
      <c r="BB62" s="82"/>
      <c r="BC62" s="82"/>
      <c r="BD62" s="82"/>
      <c r="BE62" s="82"/>
      <c r="BF62" s="82"/>
      <c r="BG62" s="82"/>
      <c r="BH62" s="82"/>
    </row>
    <row r="63" spans="1:60" ht="10.5" customHeight="1">
      <c r="A63" s="2"/>
      <c r="B63" s="42"/>
      <c r="C63" s="42"/>
      <c r="D63" s="16" t="s">
        <v>431</v>
      </c>
      <c r="E63" s="75"/>
      <c r="F63" s="17"/>
      <c r="G63" s="75"/>
      <c r="H63" s="17"/>
      <c r="I63" s="75"/>
      <c r="J63" s="17"/>
      <c r="K63" s="75"/>
      <c r="L63" s="17"/>
      <c r="M63" s="75"/>
      <c r="N63" s="17"/>
      <c r="O63" s="75"/>
      <c r="P63" s="17"/>
      <c r="Q63" s="75"/>
      <c r="R63" s="17"/>
      <c r="S63" s="75"/>
      <c r="T63" s="17"/>
      <c r="U63" s="75"/>
      <c r="V63" s="17"/>
      <c r="W63" s="75"/>
      <c r="X63" s="17"/>
      <c r="Y63" s="75"/>
      <c r="Z63" s="17"/>
      <c r="AA63" s="75"/>
      <c r="AB63" s="75"/>
      <c r="AC63" s="75"/>
      <c r="AD63" s="75"/>
      <c r="AE63" s="75"/>
      <c r="AF63" s="75"/>
      <c r="AG63" s="75"/>
      <c r="AH63" s="75"/>
      <c r="AI63" s="75"/>
      <c r="AJ63" s="75"/>
      <c r="AK63" s="75"/>
      <c r="AL63" s="75"/>
      <c r="AM63" s="75"/>
      <c r="AN63" s="75"/>
      <c r="AO63" s="75"/>
      <c r="AP63" s="75"/>
      <c r="AQ63" s="75"/>
      <c r="AR63" s="75"/>
      <c r="AS63" s="75"/>
      <c r="AT63" s="17"/>
      <c r="AU63" s="17"/>
      <c r="AV63" s="17"/>
      <c r="AW63" s="17"/>
      <c r="AX63" s="16" t="s">
        <v>432</v>
      </c>
    </row>
    <row r="64" spans="1:60" ht="4.5" customHeight="1">
      <c r="A64" s="2"/>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row>
    <row r="65" spans="1:65" ht="4.5" customHeight="1">
      <c r="A65" s="2"/>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row>
    <row r="66" spans="1:65" ht="64.5" customHeight="1">
      <c r="B66" s="529" t="s">
        <v>1179</v>
      </c>
      <c r="C66" s="535"/>
      <c r="D66" s="535"/>
      <c r="E66" s="535"/>
      <c r="F66" s="535"/>
      <c r="G66" s="535"/>
      <c r="H66" s="535"/>
      <c r="I66" s="535"/>
      <c r="J66" s="535"/>
      <c r="K66" s="535"/>
      <c r="L66" s="535"/>
      <c r="M66" s="535"/>
      <c r="N66" s="535"/>
      <c r="O66" s="535"/>
      <c r="P66" s="535"/>
      <c r="Q66" s="535"/>
      <c r="R66" s="535"/>
      <c r="S66" s="535"/>
      <c r="T66" s="535"/>
      <c r="U66" s="535"/>
      <c r="V66" s="535"/>
      <c r="W66" s="535"/>
      <c r="X66" s="535"/>
      <c r="Y66" s="535"/>
      <c r="Z66" s="535"/>
      <c r="AA66" s="535"/>
      <c r="AB66" s="535"/>
      <c r="AC66" s="535"/>
      <c r="AD66" s="535"/>
      <c r="AE66" s="535"/>
      <c r="AF66" s="535"/>
      <c r="AG66" s="535"/>
      <c r="AH66" s="535"/>
      <c r="AI66" s="535"/>
      <c r="AJ66" s="535"/>
      <c r="AK66" s="535"/>
      <c r="AL66" s="535"/>
      <c r="AM66" s="535"/>
      <c r="AN66" s="535"/>
      <c r="AO66" s="535"/>
      <c r="AP66" s="535"/>
      <c r="AQ66" s="535"/>
      <c r="AR66" s="535"/>
      <c r="AS66" s="536"/>
      <c r="AT66" s="536"/>
      <c r="AU66" s="536"/>
      <c r="AV66" s="536"/>
      <c r="AW66" s="536"/>
      <c r="AX66" s="536"/>
    </row>
    <row r="67" spans="1:65" ht="20.25" customHeight="1">
      <c r="B67" s="529" t="s">
        <v>1214</v>
      </c>
      <c r="C67" s="537"/>
      <c r="D67" s="537"/>
      <c r="E67" s="537"/>
      <c r="F67" s="537"/>
      <c r="G67" s="537"/>
      <c r="H67" s="537"/>
      <c r="I67" s="537"/>
      <c r="J67" s="537"/>
      <c r="K67" s="537"/>
      <c r="L67" s="537"/>
      <c r="M67" s="537"/>
      <c r="N67" s="537"/>
      <c r="O67" s="537"/>
      <c r="P67" s="537"/>
      <c r="Q67" s="537"/>
      <c r="R67" s="537"/>
      <c r="S67" s="537"/>
      <c r="T67" s="537"/>
      <c r="U67" s="537"/>
      <c r="V67" s="537"/>
      <c r="W67" s="537"/>
      <c r="X67" s="537"/>
      <c r="Y67" s="537"/>
      <c r="Z67" s="537"/>
      <c r="AA67" s="537"/>
      <c r="AB67" s="537"/>
      <c r="AC67" s="537"/>
      <c r="AD67" s="537"/>
      <c r="AE67" s="537"/>
      <c r="AF67" s="537"/>
      <c r="AG67" s="537"/>
      <c r="AH67" s="537"/>
      <c r="AI67" s="537"/>
      <c r="AJ67" s="537"/>
      <c r="AK67" s="537"/>
      <c r="AL67" s="537"/>
      <c r="AM67" s="537"/>
      <c r="AN67" s="537"/>
      <c r="AO67" s="537"/>
      <c r="AP67" s="537"/>
      <c r="AQ67" s="537"/>
      <c r="AR67" s="537"/>
      <c r="AS67" s="478"/>
      <c r="AT67" s="478"/>
      <c r="AU67" s="478"/>
      <c r="AV67" s="478"/>
      <c r="AW67" s="478"/>
      <c r="AX67" s="478"/>
    </row>
    <row r="68" spans="1:65" ht="21.75" customHeight="1">
      <c r="B68" s="531" t="s">
        <v>1144</v>
      </c>
      <c r="C68" s="532"/>
      <c r="D68" s="532"/>
      <c r="E68" s="532"/>
      <c r="F68" s="532"/>
      <c r="G68" s="532"/>
      <c r="H68" s="532"/>
      <c r="I68" s="532"/>
      <c r="J68" s="532"/>
      <c r="K68" s="532"/>
      <c r="L68" s="532"/>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2"/>
      <c r="AK68" s="532"/>
      <c r="AL68" s="532"/>
      <c r="AM68" s="532"/>
      <c r="AN68" s="532"/>
      <c r="AO68" s="532"/>
      <c r="AP68" s="532"/>
      <c r="AQ68" s="532"/>
      <c r="AR68" s="532"/>
      <c r="AS68" s="533"/>
      <c r="AT68" s="533"/>
      <c r="AU68" s="533"/>
      <c r="AV68" s="533"/>
      <c r="AW68" s="533"/>
      <c r="AX68" s="533"/>
    </row>
    <row r="69" spans="1:65">
      <c r="AZ69" s="127"/>
      <c r="BC69" s="16"/>
      <c r="BD69" s="16"/>
      <c r="BE69" s="16"/>
      <c r="BF69" s="127"/>
    </row>
    <row r="70" spans="1:65">
      <c r="AZ70" s="127"/>
      <c r="BC70" s="16"/>
      <c r="BD70" s="16"/>
      <c r="BE70" s="16"/>
      <c r="BF70" s="127"/>
    </row>
    <row r="71" spans="1:65">
      <c r="AZ71" s="127"/>
      <c r="BC71" s="16"/>
      <c r="BD71" s="16"/>
      <c r="BE71" s="16"/>
      <c r="BF71" s="127"/>
    </row>
    <row r="72" spans="1:65">
      <c r="B72" s="127"/>
      <c r="AZ72" s="127"/>
      <c r="BC72" s="16"/>
      <c r="BD72" s="16"/>
      <c r="BE72" s="16"/>
      <c r="BF72" s="127"/>
    </row>
    <row r="73" spans="1:65">
      <c r="B73" s="127"/>
      <c r="AZ73" s="127"/>
      <c r="BC73" s="16"/>
      <c r="BD73" s="16"/>
      <c r="BE73" s="16"/>
      <c r="BF73" s="127"/>
    </row>
    <row r="74" spans="1:65">
      <c r="B74" s="127"/>
      <c r="AZ74" s="127"/>
      <c r="BC74" s="16"/>
      <c r="BD74" s="16"/>
      <c r="BE74" s="16"/>
      <c r="BF74" s="127"/>
    </row>
    <row r="75" spans="1:65">
      <c r="B75" s="127"/>
      <c r="AZ75" s="127"/>
      <c r="BC75" s="16"/>
      <c r="BD75" s="16"/>
      <c r="BE75" s="16"/>
    </row>
    <row r="76" spans="1:65">
      <c r="B76" s="127"/>
      <c r="AZ76" s="127"/>
    </row>
    <row r="77" spans="1:65">
      <c r="B77" s="127"/>
      <c r="AZ77" s="127"/>
    </row>
    <row r="78" spans="1:65">
      <c r="AZ78" s="53"/>
    </row>
    <row r="79" spans="1:65">
      <c r="AZ79" s="53"/>
    </row>
    <row r="80" spans="1:65">
      <c r="AZ80" s="53"/>
      <c r="BM80" s="16"/>
    </row>
    <row r="81" spans="52:75">
      <c r="AZ81" s="53"/>
      <c r="BM81" s="16"/>
      <c r="BU81" s="16"/>
      <c r="BV81" s="16"/>
      <c r="BW81" s="16"/>
    </row>
    <row r="82" spans="52:75">
      <c r="AZ82" s="53"/>
      <c r="BF82" s="16"/>
      <c r="BM82" s="16"/>
      <c r="BR82" s="16"/>
      <c r="BS82" s="16"/>
      <c r="BT82" s="16"/>
      <c r="BU82" s="16"/>
      <c r="BV82" s="16"/>
      <c r="BW82" s="16"/>
    </row>
    <row r="83" spans="52:75">
      <c r="AZ83" s="53"/>
      <c r="BM83" s="16"/>
      <c r="BQ83" s="16"/>
      <c r="BR83" s="16"/>
      <c r="BS83" s="16"/>
      <c r="BT83" s="16"/>
      <c r="BU83" s="16"/>
      <c r="BV83" s="16"/>
      <c r="BW83" s="16"/>
    </row>
  </sheetData>
  <mergeCells count="64">
    <mergeCell ref="E7:E8"/>
    <mergeCell ref="F7:F8"/>
    <mergeCell ref="K7:K8"/>
    <mergeCell ref="L7:L8"/>
    <mergeCell ref="I7:I8"/>
    <mergeCell ref="J7:J8"/>
    <mergeCell ref="G7:G8"/>
    <mergeCell ref="H7:H8"/>
    <mergeCell ref="Q7:Q8"/>
    <mergeCell ref="R7:R8"/>
    <mergeCell ref="O7:O8"/>
    <mergeCell ref="P7:P8"/>
    <mergeCell ref="M7:M8"/>
    <mergeCell ref="N7:N8"/>
    <mergeCell ref="AU7:AU8"/>
    <mergeCell ref="AS7:AS8"/>
    <mergeCell ref="AT7:AT8"/>
    <mergeCell ref="U7:U8"/>
    <mergeCell ref="V7:V8"/>
    <mergeCell ref="AQ7:AQ8"/>
    <mergeCell ref="AR7:AR8"/>
    <mergeCell ref="AM7:AM8"/>
    <mergeCell ref="AN7:AN8"/>
    <mergeCell ref="AK7:AK8"/>
    <mergeCell ref="AL7:AL8"/>
    <mergeCell ref="AI7:AI8"/>
    <mergeCell ref="AJ7:AJ8"/>
    <mergeCell ref="AG7:AG8"/>
    <mergeCell ref="AH7:AH8"/>
    <mergeCell ref="AE7:AE8"/>
    <mergeCell ref="AO38:AP39"/>
    <mergeCell ref="Q38:R39"/>
    <mergeCell ref="U38:V39"/>
    <mergeCell ref="W38:X39"/>
    <mergeCell ref="Y38:Z39"/>
    <mergeCell ref="AA38:AB39"/>
    <mergeCell ref="S38:T39"/>
    <mergeCell ref="AF7:AF8"/>
    <mergeCell ref="AC7:AC8"/>
    <mergeCell ref="AD7:AD8"/>
    <mergeCell ref="AA7:AA8"/>
    <mergeCell ref="AB7:AB8"/>
    <mergeCell ref="Y7:Y8"/>
    <mergeCell ref="Z7:Z8"/>
    <mergeCell ref="W7:W8"/>
    <mergeCell ref="X7:X8"/>
    <mergeCell ref="S7:S8"/>
    <mergeCell ref="T7:T8"/>
    <mergeCell ref="B68:AX68"/>
    <mergeCell ref="AO7:AO8"/>
    <mergeCell ref="B39:D39"/>
    <mergeCell ref="B38:D38"/>
    <mergeCell ref="E38:F39"/>
    <mergeCell ref="B7:D7"/>
    <mergeCell ref="B66:AX66"/>
    <mergeCell ref="AQ38:AR39"/>
    <mergeCell ref="B8:D8"/>
    <mergeCell ref="B67:AX67"/>
    <mergeCell ref="M38:N39"/>
    <mergeCell ref="O38:P39"/>
    <mergeCell ref="G38:H39"/>
    <mergeCell ref="I38:J39"/>
    <mergeCell ref="K38:L39"/>
    <mergeCell ref="AM38:AN39"/>
  </mergeCells>
  <printOptions horizontalCentered="1"/>
  <pageMargins left="0" right="0" top="0" bottom="0" header="0" footer="0"/>
  <pageSetup paperSize="9" scale="87"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W58"/>
  <sheetViews>
    <sheetView showGridLines="0" showRuler="0" showWhiteSpace="0" zoomScaleNormal="100" workbookViewId="0"/>
  </sheetViews>
  <sheetFormatPr defaultColWidth="9.109375" defaultRowHeight="13.8" outlineLevelCol="1"/>
  <cols>
    <col min="1" max="1" width="1.33203125" style="11" customWidth="1"/>
    <col min="2" max="2" width="4.33203125" style="11" customWidth="1"/>
    <col min="3" max="3" width="0.88671875" style="11" customWidth="1"/>
    <col min="4" max="4" width="60.6640625" style="11" customWidth="1"/>
    <col min="5" max="5" width="6.6640625" style="11" hidden="1" customWidth="1" outlineLevel="1"/>
    <col min="6" max="6" width="1.33203125" style="11" hidden="1" customWidth="1" outlineLevel="1"/>
    <col min="7" max="7" width="6.6640625" style="11" hidden="1" customWidth="1" outlineLevel="1"/>
    <col min="8" max="8" width="1.33203125" style="11" hidden="1" customWidth="1" outlineLevel="1"/>
    <col min="9" max="9" width="6.6640625" style="11" hidden="1" customWidth="1" outlineLevel="1"/>
    <col min="10" max="10" width="1.33203125" style="11" hidden="1" customWidth="1" outlineLevel="1"/>
    <col min="11" max="11" width="6.6640625" style="11" hidden="1" customWidth="1" outlineLevel="1"/>
    <col min="12" max="12" width="1.33203125" style="11" hidden="1" customWidth="1" outlineLevel="1"/>
    <col min="13" max="13" width="6.6640625" style="11" hidden="1" customWidth="1" outlineLevel="1"/>
    <col min="14" max="14" width="1.33203125" style="11" hidden="1" customWidth="1" outlineLevel="1"/>
    <col min="15" max="15" width="6.6640625" style="11" hidden="1" customWidth="1" outlineLevel="1"/>
    <col min="16" max="16" width="1.33203125" style="11" hidden="1" customWidth="1" outlineLevel="1"/>
    <col min="17" max="17" width="6.6640625" style="11" hidden="1" customWidth="1" outlineLevel="1"/>
    <col min="18" max="18" width="1.33203125" style="11" hidden="1" customWidth="1" outlineLevel="1"/>
    <col min="19" max="19" width="6.6640625" style="11" hidden="1" customWidth="1" outlineLevel="1"/>
    <col min="20" max="20" width="1.33203125" style="11" hidden="1" customWidth="1" outlineLevel="1"/>
    <col min="21" max="21" width="6.6640625" style="11" hidden="1" customWidth="1" outlineLevel="1"/>
    <col min="22" max="22" width="1.33203125" style="11" hidden="1" customWidth="1" outlineLevel="1"/>
    <col min="23" max="23" width="6.6640625" style="11" hidden="1" customWidth="1" outlineLevel="1"/>
    <col min="24" max="24" width="1.33203125" style="11" hidden="1" customWidth="1" outlineLevel="1"/>
    <col min="25" max="25" width="6.6640625" style="11" hidden="1" customWidth="1" outlineLevel="1"/>
    <col min="26" max="26" width="1.33203125" style="11" hidden="1" customWidth="1" outlineLevel="1"/>
    <col min="27" max="27" width="6.6640625" style="11" hidden="1" customWidth="1" outlineLevel="1"/>
    <col min="28" max="28" width="1.33203125" style="11" hidden="1" customWidth="1" outlineLevel="1"/>
    <col min="29" max="29" width="6.6640625" style="11" hidden="1" customWidth="1" outlineLevel="1"/>
    <col min="30" max="30" width="1.33203125" style="11" hidden="1" customWidth="1" outlineLevel="1"/>
    <col min="31" max="31" width="6.6640625" style="11" hidden="1" customWidth="1" outlineLevel="1"/>
    <col min="32" max="32" width="1.33203125" style="11" hidden="1" customWidth="1" outlineLevel="1"/>
    <col min="33" max="33" width="6.6640625" style="11" hidden="1" customWidth="1" outlineLevel="1"/>
    <col min="34" max="34" width="1.33203125" style="11" hidden="1" customWidth="1" outlineLevel="1"/>
    <col min="35" max="35" width="6.6640625" style="11" hidden="1" customWidth="1" outlineLevel="1"/>
    <col min="36" max="36" width="1.33203125" style="11" hidden="1" customWidth="1" outlineLevel="1"/>
    <col min="37" max="37" width="6.6640625" style="11" customWidth="1" collapsed="1"/>
    <col min="38" max="38" width="1.33203125" style="11" customWidth="1"/>
    <col min="39" max="39" width="6.6640625" style="11" customWidth="1"/>
    <col min="40" max="40" width="1.33203125" style="11" customWidth="1"/>
    <col min="41" max="41" width="6.6640625" style="11" customWidth="1"/>
    <col min="42" max="42" width="1.33203125" style="11" customWidth="1"/>
    <col min="43" max="43" width="6.6640625" style="11" customWidth="1"/>
    <col min="44" max="44" width="1.33203125" style="11" customWidth="1"/>
    <col min="45" max="45" width="6.6640625" style="11" customWidth="1"/>
    <col min="46" max="46" width="1.33203125" style="11" customWidth="1"/>
    <col min="47" max="47" width="6.6640625" style="11" customWidth="1"/>
    <col min="48" max="48" width="1.33203125" style="11" customWidth="1"/>
    <col min="49" max="16384" width="9.109375" style="11"/>
  </cols>
  <sheetData>
    <row r="1" spans="2:49">
      <c r="B1" s="10" t="s">
        <v>1222</v>
      </c>
    </row>
    <row r="2" spans="2:49">
      <c r="B2" s="156" t="s">
        <v>1223</v>
      </c>
    </row>
    <row r="3" spans="2:49" ht="6" customHeight="1">
      <c r="B3" s="2"/>
    </row>
    <row r="4" spans="2:49">
      <c r="B4" s="12" t="s">
        <v>435</v>
      </c>
      <c r="E4" s="1"/>
      <c r="G4" s="1"/>
      <c r="I4" s="1"/>
      <c r="K4" s="1"/>
      <c r="M4" s="1"/>
      <c r="O4" s="1"/>
      <c r="Q4" s="1"/>
      <c r="S4" s="1"/>
    </row>
    <row r="5" spans="2:49" ht="6" customHeight="1">
      <c r="B5" s="4"/>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row>
    <row r="6" spans="2:49">
      <c r="B6" s="523"/>
      <c r="C6" s="523" t="s">
        <v>436</v>
      </c>
      <c r="D6" s="528" t="s">
        <v>437</v>
      </c>
      <c r="E6" s="476">
        <v>2000</v>
      </c>
      <c r="F6" s="476"/>
      <c r="G6" s="476">
        <v>2001</v>
      </c>
      <c r="H6" s="476"/>
      <c r="I6" s="476">
        <v>2002</v>
      </c>
      <c r="J6" s="476"/>
      <c r="K6" s="476">
        <v>2003</v>
      </c>
      <c r="L6" s="476"/>
      <c r="M6" s="476">
        <v>2004</v>
      </c>
      <c r="N6" s="476"/>
      <c r="O6" s="476">
        <v>2005</v>
      </c>
      <c r="P6" s="476"/>
      <c r="Q6" s="476">
        <v>2006</v>
      </c>
      <c r="R6" s="476"/>
      <c r="S6" s="476">
        <v>2007</v>
      </c>
      <c r="T6" s="476"/>
      <c r="U6" s="476">
        <v>2008</v>
      </c>
      <c r="V6" s="476"/>
      <c r="W6" s="476">
        <v>2009</v>
      </c>
      <c r="X6" s="476"/>
      <c r="Y6" s="476">
        <v>2010</v>
      </c>
      <c r="Z6" s="476"/>
      <c r="AA6" s="476">
        <v>2011</v>
      </c>
      <c r="AB6" s="476"/>
      <c r="AC6" s="476">
        <v>2012</v>
      </c>
      <c r="AD6" s="476"/>
      <c r="AE6" s="476">
        <v>2013</v>
      </c>
      <c r="AF6" s="476"/>
      <c r="AG6" s="476">
        <v>2014</v>
      </c>
      <c r="AH6" s="476"/>
      <c r="AI6" s="476">
        <v>2015</v>
      </c>
      <c r="AJ6" s="476"/>
      <c r="AK6" s="476">
        <v>2016</v>
      </c>
      <c r="AL6" s="476"/>
      <c r="AM6" s="476">
        <v>2017</v>
      </c>
      <c r="AN6" s="476"/>
      <c r="AO6" s="476" t="s">
        <v>838</v>
      </c>
      <c r="AP6" s="476"/>
      <c r="AQ6" s="476">
        <v>2019</v>
      </c>
      <c r="AR6" s="476"/>
      <c r="AS6" s="476">
        <v>2020</v>
      </c>
      <c r="AT6" s="476"/>
      <c r="AU6" s="476">
        <v>2021</v>
      </c>
      <c r="AV6" s="476"/>
    </row>
    <row r="7" spans="2:49" ht="14.25" customHeight="1">
      <c r="B7" s="538"/>
      <c r="C7" s="526" t="s">
        <v>438</v>
      </c>
      <c r="D7" s="541"/>
      <c r="E7" s="534"/>
      <c r="F7" s="534"/>
      <c r="G7" s="534"/>
      <c r="H7" s="534"/>
      <c r="I7" s="534"/>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row>
    <row r="8" spans="2:49" ht="6" customHeight="1">
      <c r="B8" s="42"/>
      <c r="C8" s="42"/>
      <c r="D8" s="53"/>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row>
    <row r="9" spans="2:49" ht="10.5" customHeight="1">
      <c r="B9" s="42">
        <v>1</v>
      </c>
      <c r="C9" s="42"/>
      <c r="D9" s="122" t="s">
        <v>1150</v>
      </c>
      <c r="E9" s="75" t="s">
        <v>78</v>
      </c>
      <c r="G9" s="75" t="s">
        <v>78</v>
      </c>
      <c r="I9" s="75" t="s">
        <v>78</v>
      </c>
      <c r="K9" s="75" t="s">
        <v>78</v>
      </c>
      <c r="M9" s="75" t="s">
        <v>78</v>
      </c>
      <c r="O9" s="75" t="s">
        <v>78</v>
      </c>
      <c r="Q9" s="75" t="s">
        <v>78</v>
      </c>
      <c r="S9" s="75" t="s">
        <v>78</v>
      </c>
      <c r="U9" s="75">
        <v>7710.6337800000156</v>
      </c>
      <c r="V9" s="17"/>
      <c r="W9" s="75">
        <v>7703.4367900000052</v>
      </c>
      <c r="Y9" s="75">
        <v>8169.2631800000017</v>
      </c>
      <c r="Z9" s="78"/>
      <c r="AA9" s="75">
        <v>8181.0548981672382</v>
      </c>
      <c r="AB9" s="17"/>
      <c r="AC9" s="75">
        <v>8477.70737238941</v>
      </c>
      <c r="AD9" s="17"/>
      <c r="AE9" s="75">
        <v>8735.656721558631</v>
      </c>
      <c r="AF9" s="23"/>
      <c r="AG9" s="75">
        <v>8648.5991652161356</v>
      </c>
      <c r="AH9" s="17"/>
      <c r="AI9" s="75">
        <v>8858.6538365557244</v>
      </c>
      <c r="AJ9" s="17"/>
      <c r="AK9" s="75">
        <v>8916.6901799955358</v>
      </c>
      <c r="AL9" s="17"/>
      <c r="AM9" s="75">
        <v>8702.5552286695092</v>
      </c>
      <c r="AN9" s="17"/>
      <c r="AO9" s="292">
        <v>8273.1228572852087</v>
      </c>
      <c r="AP9" s="17"/>
      <c r="AQ9" s="75">
        <v>9015.3004884685433</v>
      </c>
      <c r="AR9" s="17"/>
      <c r="AS9" s="75">
        <v>10611.229333874739</v>
      </c>
      <c r="AU9" s="75">
        <v>10564.127369763401</v>
      </c>
      <c r="AW9" s="75"/>
    </row>
    <row r="10" spans="2:49" ht="10.5" customHeight="1">
      <c r="B10" s="42"/>
      <c r="C10" s="42"/>
      <c r="D10" s="145" t="s">
        <v>439</v>
      </c>
      <c r="E10" s="75"/>
      <c r="G10" s="75"/>
      <c r="I10" s="75"/>
      <c r="K10" s="75"/>
      <c r="M10" s="75"/>
      <c r="O10" s="75"/>
      <c r="Q10" s="75"/>
      <c r="S10" s="75"/>
      <c r="U10" s="75"/>
      <c r="V10" s="23"/>
      <c r="W10" s="75"/>
      <c r="Y10" s="75"/>
      <c r="Z10" s="78"/>
      <c r="AA10" s="75"/>
      <c r="AB10" s="23"/>
      <c r="AC10" s="75"/>
      <c r="AD10" s="23"/>
      <c r="AE10" s="75"/>
      <c r="AF10" s="23"/>
      <c r="AG10" s="75"/>
      <c r="AH10" s="23"/>
      <c r="AI10" s="75"/>
      <c r="AJ10" s="23"/>
      <c r="AK10" s="75"/>
      <c r="AL10" s="23"/>
      <c r="AM10" s="75"/>
      <c r="AN10" s="23"/>
      <c r="AO10" s="75"/>
      <c r="AP10" s="23"/>
      <c r="AR10" s="23"/>
    </row>
    <row r="11" spans="2:49" ht="10.5" customHeight="1">
      <c r="B11" s="42">
        <v>2</v>
      </c>
      <c r="C11" s="42"/>
      <c r="D11" s="16" t="s">
        <v>1149</v>
      </c>
      <c r="E11" s="75" t="s">
        <v>78</v>
      </c>
      <c r="G11" s="75" t="s">
        <v>78</v>
      </c>
      <c r="I11" s="75" t="s">
        <v>78</v>
      </c>
      <c r="K11" s="75" t="s">
        <v>78</v>
      </c>
      <c r="M11" s="75" t="s">
        <v>78</v>
      </c>
      <c r="O11" s="75" t="s">
        <v>78</v>
      </c>
      <c r="Q11" s="75" t="s">
        <v>78</v>
      </c>
      <c r="S11" s="75" t="s">
        <v>78</v>
      </c>
      <c r="U11" s="75">
        <v>244.93608</v>
      </c>
      <c r="V11" s="17"/>
      <c r="W11" s="75">
        <v>59.971460000000008</v>
      </c>
      <c r="Y11" s="75">
        <v>278.77733999999998</v>
      </c>
      <c r="Z11" s="78"/>
      <c r="AA11" s="75">
        <v>250.33425000000003</v>
      </c>
      <c r="AB11" s="17"/>
      <c r="AC11" s="75">
        <v>279.08800000000002</v>
      </c>
      <c r="AD11" s="17"/>
      <c r="AE11" s="75">
        <v>184.77480705081197</v>
      </c>
      <c r="AF11" s="23"/>
      <c r="AG11" s="75">
        <v>279.64600000000002</v>
      </c>
      <c r="AH11" s="17"/>
      <c r="AI11" s="75">
        <v>196.04100000000003</v>
      </c>
      <c r="AJ11" s="17"/>
      <c r="AK11" s="75">
        <v>218.78663252655326</v>
      </c>
      <c r="AL11" s="17"/>
      <c r="AM11" s="75">
        <v>271.94017433148315</v>
      </c>
      <c r="AN11" s="17"/>
      <c r="AO11" s="292">
        <v>300.10599999999999</v>
      </c>
      <c r="AP11" s="17"/>
      <c r="AQ11" s="75">
        <v>231.13500000000002</v>
      </c>
      <c r="AR11" s="17"/>
      <c r="AS11" s="75">
        <v>215.14000000000004</v>
      </c>
      <c r="AU11" s="75">
        <v>251.67699999999999</v>
      </c>
      <c r="AW11" s="75"/>
    </row>
    <row r="12" spans="2:49" ht="10.5" customHeight="1">
      <c r="B12" s="42">
        <v>3</v>
      </c>
      <c r="C12" s="42"/>
      <c r="D12" s="16" t="s">
        <v>1154</v>
      </c>
      <c r="E12" s="75" t="s">
        <v>78</v>
      </c>
      <c r="G12" s="75" t="s">
        <v>78</v>
      </c>
      <c r="I12" s="75" t="s">
        <v>78</v>
      </c>
      <c r="K12" s="75" t="s">
        <v>78</v>
      </c>
      <c r="M12" s="75" t="s">
        <v>78</v>
      </c>
      <c r="O12" s="75" t="s">
        <v>78</v>
      </c>
      <c r="Q12" s="75" t="s">
        <v>78</v>
      </c>
      <c r="S12" s="75" t="s">
        <v>78</v>
      </c>
      <c r="U12" s="75">
        <v>28503.940340000001</v>
      </c>
      <c r="V12" s="17"/>
      <c r="W12" s="75">
        <v>22362.215185000001</v>
      </c>
      <c r="Y12" s="75">
        <v>30619.845501000003</v>
      </c>
      <c r="Z12" s="78"/>
      <c r="AA12" s="75">
        <v>29468.727948000003</v>
      </c>
      <c r="AB12" s="17"/>
      <c r="AC12" s="75">
        <v>29450.105283361288</v>
      </c>
      <c r="AD12" s="17"/>
      <c r="AE12" s="75">
        <v>30769.661366699023</v>
      </c>
      <c r="AF12" s="23"/>
      <c r="AG12" s="75">
        <v>31290.206641047684</v>
      </c>
      <c r="AH12" s="17"/>
      <c r="AI12" s="75">
        <v>27828.748473459789</v>
      </c>
      <c r="AJ12" s="17"/>
      <c r="AK12" s="75">
        <v>30082.61670203312</v>
      </c>
      <c r="AL12" s="17"/>
      <c r="AM12" s="75">
        <v>31961.491697560279</v>
      </c>
      <c r="AN12" s="17"/>
      <c r="AO12" s="292">
        <v>27870.88613238875</v>
      </c>
      <c r="AP12" s="78"/>
      <c r="AQ12" s="75">
        <v>27604.725999345002</v>
      </c>
      <c r="AR12" s="78"/>
      <c r="AS12" s="75">
        <v>29616.986262925311</v>
      </c>
      <c r="AU12" s="75">
        <v>31134.559614130001</v>
      </c>
      <c r="AW12" s="75"/>
    </row>
    <row r="13" spans="2:49" ht="10.5" customHeight="1">
      <c r="B13" s="42">
        <v>4</v>
      </c>
      <c r="C13" s="42"/>
      <c r="D13" s="16" t="s">
        <v>1148</v>
      </c>
      <c r="E13" s="75" t="s">
        <v>78</v>
      </c>
      <c r="G13" s="75" t="s">
        <v>78</v>
      </c>
      <c r="I13" s="75" t="s">
        <v>78</v>
      </c>
      <c r="K13" s="75" t="s">
        <v>78</v>
      </c>
      <c r="M13" s="75" t="s">
        <v>78</v>
      </c>
      <c r="O13" s="75" t="s">
        <v>78</v>
      </c>
      <c r="Q13" s="75" t="s">
        <v>78</v>
      </c>
      <c r="S13" s="75" t="s">
        <v>78</v>
      </c>
      <c r="U13" s="75">
        <v>401.36486700000017</v>
      </c>
      <c r="V13" s="17"/>
      <c r="W13" s="75">
        <v>494.20916299999971</v>
      </c>
      <c r="Y13" s="75">
        <v>508.49003000000005</v>
      </c>
      <c r="Z13" s="78"/>
      <c r="AA13" s="75">
        <v>376.7085770000001</v>
      </c>
      <c r="AB13" s="17"/>
      <c r="AC13" s="75">
        <v>349.21068422634954</v>
      </c>
      <c r="AD13" s="17"/>
      <c r="AE13" s="75">
        <v>834.44082769039255</v>
      </c>
      <c r="AF13" s="23"/>
      <c r="AG13" s="75">
        <v>908.48313703577821</v>
      </c>
      <c r="AH13" s="17"/>
      <c r="AI13" s="75">
        <v>846.03088198083697</v>
      </c>
      <c r="AJ13" s="17"/>
      <c r="AK13" s="75">
        <v>875.66824491257591</v>
      </c>
      <c r="AL13" s="17"/>
      <c r="AM13" s="75">
        <v>1007.3704450417341</v>
      </c>
      <c r="AN13" s="17"/>
      <c r="AO13" s="292">
        <v>1071.4968221021491</v>
      </c>
      <c r="AP13" s="17"/>
      <c r="AQ13" s="75">
        <v>997.12431073316827</v>
      </c>
      <c r="AR13" s="17"/>
      <c r="AS13" s="75">
        <v>1119.4415548734105</v>
      </c>
      <c r="AU13" s="75">
        <v>1144.5558450000001</v>
      </c>
      <c r="AW13" s="75"/>
    </row>
    <row r="14" spans="2:49" ht="10.5" customHeight="1">
      <c r="B14" s="42">
        <v>5</v>
      </c>
      <c r="C14" s="42"/>
      <c r="D14" s="16" t="s">
        <v>1151</v>
      </c>
      <c r="E14" s="75" t="s">
        <v>78</v>
      </c>
      <c r="G14" s="75" t="s">
        <v>78</v>
      </c>
      <c r="I14" s="75" t="s">
        <v>78</v>
      </c>
      <c r="K14" s="75" t="s">
        <v>78</v>
      </c>
      <c r="M14" s="75" t="s">
        <v>78</v>
      </c>
      <c r="O14" s="75" t="s">
        <v>78</v>
      </c>
      <c r="Q14" s="75" t="s">
        <v>78</v>
      </c>
      <c r="S14" s="75" t="s">
        <v>78</v>
      </c>
      <c r="U14" s="75">
        <v>1.2602200000000001</v>
      </c>
      <c r="V14" s="17"/>
      <c r="W14" s="75">
        <v>1.3363999999999998</v>
      </c>
      <c r="Y14" s="75">
        <v>1.11629</v>
      </c>
      <c r="Z14" s="78"/>
      <c r="AA14" s="75">
        <v>0.34388999999999997</v>
      </c>
      <c r="AB14" s="17"/>
      <c r="AC14" s="75">
        <v>1.949E-2</v>
      </c>
      <c r="AD14" s="17"/>
      <c r="AE14" s="75">
        <v>0.50510200000000016</v>
      </c>
      <c r="AF14" s="23"/>
      <c r="AG14" s="75">
        <v>0.7504996150176475</v>
      </c>
      <c r="AH14" s="17"/>
      <c r="AI14" s="75">
        <v>0.68662199999999995</v>
      </c>
      <c r="AJ14" s="17"/>
      <c r="AK14" s="75">
        <v>0.19569147699775755</v>
      </c>
      <c r="AL14" s="17"/>
      <c r="AM14" s="75">
        <v>0.34650177849674091</v>
      </c>
      <c r="AN14" s="17"/>
      <c r="AO14" s="292">
        <v>0.24167495782085327</v>
      </c>
      <c r="AP14" s="17"/>
      <c r="AQ14" s="75">
        <v>0.29616368896303435</v>
      </c>
      <c r="AR14" s="17"/>
      <c r="AS14" s="75">
        <v>1.4614721522687679</v>
      </c>
      <c r="AU14" s="75">
        <v>4.6437109999999997</v>
      </c>
      <c r="AW14" s="75"/>
    </row>
    <row r="15" spans="2:49" ht="10.5" customHeight="1">
      <c r="B15" s="42"/>
      <c r="C15" s="42"/>
      <c r="D15" s="53" t="s">
        <v>440</v>
      </c>
      <c r="E15" s="75"/>
      <c r="G15" s="75"/>
      <c r="I15" s="75"/>
      <c r="K15" s="75"/>
      <c r="M15" s="75"/>
      <c r="O15" s="75"/>
      <c r="Q15" s="75"/>
      <c r="S15" s="75"/>
      <c r="U15" s="75"/>
      <c r="V15" s="17"/>
      <c r="W15" s="75"/>
      <c r="Y15" s="75"/>
      <c r="Z15" s="78"/>
      <c r="AA15" s="75"/>
      <c r="AB15" s="75"/>
      <c r="AC15" s="75"/>
      <c r="AD15" s="75"/>
      <c r="AE15" s="75"/>
      <c r="AF15" s="75"/>
      <c r="AG15" s="75"/>
      <c r="AH15" s="75"/>
      <c r="AI15" s="75"/>
      <c r="AJ15" s="75"/>
      <c r="AK15" s="75"/>
      <c r="AL15" s="17"/>
      <c r="AM15" s="75"/>
      <c r="AN15" s="17"/>
      <c r="AO15" s="75"/>
      <c r="AP15" s="17"/>
      <c r="AR15" s="17"/>
    </row>
    <row r="16" spans="2:49" ht="10.5" customHeight="1">
      <c r="E16" s="75"/>
      <c r="G16" s="75"/>
      <c r="I16" s="75"/>
      <c r="K16" s="75"/>
      <c r="M16" s="75"/>
      <c r="O16" s="75"/>
      <c r="Q16" s="75"/>
      <c r="S16" s="75"/>
      <c r="V16" s="17"/>
      <c r="W16" s="75"/>
      <c r="Y16" s="75"/>
      <c r="Z16" s="78"/>
      <c r="AA16" s="75"/>
      <c r="AB16" s="17"/>
      <c r="AC16" s="75"/>
      <c r="AD16" s="17"/>
      <c r="AE16" s="75"/>
      <c r="AF16" s="23"/>
      <c r="AG16" s="75"/>
      <c r="AH16" s="17"/>
      <c r="AI16" s="75"/>
      <c r="AJ16" s="17"/>
      <c r="AK16" s="75"/>
      <c r="AL16" s="17"/>
      <c r="AM16" s="75"/>
      <c r="AN16" s="17"/>
      <c r="AO16" s="75"/>
      <c r="AP16" s="17"/>
      <c r="AR16" s="17"/>
    </row>
    <row r="17" spans="2:49" ht="10.5" customHeight="1">
      <c r="B17" s="217">
        <v>6</v>
      </c>
      <c r="C17" s="42"/>
      <c r="D17" s="382" t="s">
        <v>1444</v>
      </c>
      <c r="E17" s="75" t="s">
        <v>78</v>
      </c>
      <c r="G17" s="75" t="s">
        <v>78</v>
      </c>
      <c r="I17" s="75" t="s">
        <v>78</v>
      </c>
      <c r="K17" s="75" t="s">
        <v>78</v>
      </c>
      <c r="M17" s="75" t="s">
        <v>78</v>
      </c>
      <c r="O17" s="75" t="s">
        <v>78</v>
      </c>
      <c r="Q17" s="75" t="s">
        <v>78</v>
      </c>
      <c r="S17" s="75" t="s">
        <v>78</v>
      </c>
      <c r="U17" s="75">
        <v>7212.0962410000038</v>
      </c>
      <c r="V17" s="17"/>
      <c r="W17" s="75">
        <v>7299.4341433333375</v>
      </c>
      <c r="Y17" s="75">
        <v>6903.5863700000045</v>
      </c>
      <c r="Z17" s="78"/>
      <c r="AA17" s="75">
        <v>6916.7015278327672</v>
      </c>
      <c r="AB17" s="17"/>
      <c r="AC17" s="75">
        <v>6397.2863214728604</v>
      </c>
      <c r="AD17" s="17"/>
      <c r="AE17" s="75">
        <v>6281.054149762399</v>
      </c>
      <c r="AF17" s="23"/>
      <c r="AG17" s="383">
        <v>6754.3952897119261</v>
      </c>
      <c r="AH17" s="384"/>
      <c r="AI17" s="383">
        <v>6081.1338282077022</v>
      </c>
      <c r="AJ17" s="384"/>
      <c r="AK17" s="383">
        <v>6586.5776944193231</v>
      </c>
      <c r="AL17" s="384"/>
      <c r="AM17" s="383">
        <v>6912.4747422851142</v>
      </c>
      <c r="AN17" s="384"/>
      <c r="AO17" s="385">
        <v>7454.0822135671215</v>
      </c>
      <c r="AP17" s="384"/>
      <c r="AQ17" s="383">
        <v>6924.8229352906974</v>
      </c>
      <c r="AR17" s="17"/>
      <c r="AS17" s="383">
        <v>7179.4681330853819</v>
      </c>
      <c r="AU17" s="383">
        <v>7022.12723534015</v>
      </c>
      <c r="AW17" s="75"/>
    </row>
    <row r="18" spans="2:49" ht="10.5" customHeight="1">
      <c r="B18" s="42"/>
      <c r="C18" s="42"/>
      <c r="D18" s="53" t="s">
        <v>1445</v>
      </c>
      <c r="E18" s="75"/>
      <c r="G18" s="75"/>
      <c r="I18" s="75"/>
      <c r="K18" s="75"/>
      <c r="M18" s="75"/>
      <c r="O18" s="75"/>
      <c r="Q18" s="75"/>
      <c r="S18" s="75"/>
      <c r="U18" s="75"/>
      <c r="V18" s="17"/>
      <c r="W18" s="75"/>
      <c r="Y18" s="75"/>
      <c r="Z18" s="78"/>
      <c r="AA18" s="75"/>
      <c r="AB18" s="17"/>
      <c r="AC18" s="75"/>
      <c r="AD18" s="17"/>
      <c r="AE18" s="75"/>
      <c r="AF18" s="23"/>
      <c r="AG18" s="75"/>
      <c r="AH18" s="17"/>
      <c r="AI18" s="75"/>
      <c r="AJ18" s="17"/>
      <c r="AK18" s="75"/>
      <c r="AL18" s="17"/>
      <c r="AM18" s="75"/>
      <c r="AN18" s="17"/>
      <c r="AO18" s="75"/>
      <c r="AP18" s="17"/>
      <c r="AR18" s="17"/>
    </row>
    <row r="19" spans="2:49" ht="10.5" customHeight="1">
      <c r="B19" s="42">
        <v>7</v>
      </c>
      <c r="C19" s="42"/>
      <c r="D19" s="16" t="s">
        <v>1152</v>
      </c>
      <c r="E19" s="75" t="s">
        <v>78</v>
      </c>
      <c r="G19" s="75" t="s">
        <v>78</v>
      </c>
      <c r="I19" s="75" t="s">
        <v>78</v>
      </c>
      <c r="K19" s="75" t="s">
        <v>78</v>
      </c>
      <c r="M19" s="75" t="s">
        <v>78</v>
      </c>
      <c r="O19" s="75" t="s">
        <v>78</v>
      </c>
      <c r="Q19" s="75" t="s">
        <v>78</v>
      </c>
      <c r="S19" s="75" t="s">
        <v>78</v>
      </c>
      <c r="U19" s="75">
        <v>1524.3432600000001</v>
      </c>
      <c r="V19" s="75"/>
      <c r="W19" s="75">
        <v>1308.181615</v>
      </c>
      <c r="Y19" s="75">
        <v>1419.0068800000006</v>
      </c>
      <c r="Z19" s="78"/>
      <c r="AA19" s="75">
        <v>1469.2541699999999</v>
      </c>
      <c r="AB19" s="75"/>
      <c r="AC19" s="75">
        <v>1409.4695900000002</v>
      </c>
      <c r="AD19" s="75"/>
      <c r="AE19" s="75">
        <v>1448.7630158863633</v>
      </c>
      <c r="AF19" s="23"/>
      <c r="AG19" s="75">
        <v>1396.1725642772303</v>
      </c>
      <c r="AH19" s="75"/>
      <c r="AI19" s="75">
        <v>1436.5332040000001</v>
      </c>
      <c r="AJ19" s="75"/>
      <c r="AK19" s="75">
        <v>1491.1296739689722</v>
      </c>
      <c r="AL19" s="75"/>
      <c r="AM19" s="75">
        <v>1421.3670482953198</v>
      </c>
      <c r="AN19" s="75"/>
      <c r="AO19" s="292">
        <v>1414.5902686977877</v>
      </c>
      <c r="AP19" s="75"/>
      <c r="AQ19" s="75">
        <v>1375.3494390008382</v>
      </c>
      <c r="AR19" s="75"/>
      <c r="AS19" s="75">
        <v>1283.0803096631469</v>
      </c>
      <c r="AU19" s="75">
        <v>1158.1070795318501</v>
      </c>
      <c r="AW19" s="75"/>
    </row>
    <row r="20" spans="2:49" ht="10.5" customHeight="1">
      <c r="B20" s="42"/>
      <c r="C20" s="42"/>
      <c r="D20" s="53" t="s">
        <v>441</v>
      </c>
      <c r="E20" s="75"/>
      <c r="G20" s="75"/>
      <c r="I20" s="75"/>
      <c r="K20" s="75"/>
      <c r="M20" s="75"/>
      <c r="O20" s="75"/>
      <c r="Q20" s="75"/>
      <c r="S20" s="75"/>
      <c r="U20" s="75"/>
      <c r="V20" s="17"/>
      <c r="W20" s="75"/>
      <c r="Y20" s="75"/>
      <c r="Z20" s="78"/>
      <c r="AA20" s="75"/>
      <c r="AB20" s="17"/>
      <c r="AC20" s="75"/>
      <c r="AD20" s="17"/>
      <c r="AE20" s="75"/>
      <c r="AF20" s="23"/>
      <c r="AG20" s="75"/>
      <c r="AH20" s="17"/>
      <c r="AI20" s="75"/>
      <c r="AJ20" s="17"/>
      <c r="AK20" s="75"/>
      <c r="AL20" s="17"/>
      <c r="AM20" s="75"/>
      <c r="AN20" s="17"/>
      <c r="AO20" s="75"/>
      <c r="AP20" s="17"/>
      <c r="AR20" s="17"/>
    </row>
    <row r="21" spans="2:49" ht="10.5" customHeight="1">
      <c r="B21" s="42">
        <v>8</v>
      </c>
      <c r="C21" s="42"/>
      <c r="D21" s="16" t="s">
        <v>1153</v>
      </c>
      <c r="E21" s="75" t="s">
        <v>78</v>
      </c>
      <c r="G21" s="75" t="s">
        <v>78</v>
      </c>
      <c r="I21" s="75" t="s">
        <v>78</v>
      </c>
      <c r="K21" s="75" t="s">
        <v>78</v>
      </c>
      <c r="M21" s="75" t="s">
        <v>78</v>
      </c>
      <c r="O21" s="75" t="s">
        <v>78</v>
      </c>
      <c r="Q21" s="75" t="s">
        <v>78</v>
      </c>
      <c r="S21" s="75" t="s">
        <v>78</v>
      </c>
      <c r="U21" s="75">
        <v>815.80191066666669</v>
      </c>
      <c r="V21" s="17"/>
      <c r="W21" s="75">
        <v>773.9812100000006</v>
      </c>
      <c r="Y21" s="75">
        <v>862.53748500000074</v>
      </c>
      <c r="Z21" s="78"/>
      <c r="AA21" s="75">
        <v>1241.7580609999995</v>
      </c>
      <c r="AB21" s="17"/>
      <c r="AC21" s="75">
        <v>1309.8554051389681</v>
      </c>
      <c r="AD21" s="17"/>
      <c r="AE21" s="75">
        <v>1279.6117971796048</v>
      </c>
      <c r="AF21" s="23"/>
      <c r="AG21" s="75">
        <v>1259.7398340758427</v>
      </c>
      <c r="AH21" s="17"/>
      <c r="AI21" s="75">
        <v>1290.4572958333315</v>
      </c>
      <c r="AJ21" s="17"/>
      <c r="AK21" s="75">
        <v>1285.3117299764876</v>
      </c>
      <c r="AL21" s="17"/>
      <c r="AM21" s="75">
        <v>1201.7997075003323</v>
      </c>
      <c r="AN21" s="17"/>
      <c r="AO21" s="292">
        <v>1527.6926093315062</v>
      </c>
      <c r="AP21" s="17"/>
      <c r="AQ21" s="75">
        <v>1212.8403929536103</v>
      </c>
      <c r="AR21" s="17"/>
      <c r="AS21" s="75">
        <v>1296.685782502022</v>
      </c>
      <c r="AU21" s="75">
        <v>1551.3000480000001</v>
      </c>
      <c r="AW21" s="75"/>
    </row>
    <row r="22" spans="2:49" ht="24" customHeight="1">
      <c r="B22" s="42"/>
      <c r="C22" s="42"/>
      <c r="D22" s="381" t="s">
        <v>1146</v>
      </c>
      <c r="E22" s="75"/>
      <c r="G22" s="75"/>
      <c r="I22" s="75"/>
      <c r="K22" s="75"/>
      <c r="M22" s="75"/>
      <c r="O22" s="75"/>
      <c r="Q22" s="75"/>
      <c r="S22" s="75"/>
      <c r="U22" s="75"/>
      <c r="V22" s="17"/>
      <c r="W22" s="75"/>
      <c r="Y22" s="75"/>
      <c r="Z22" s="78"/>
      <c r="AA22" s="75"/>
      <c r="AB22" s="17"/>
      <c r="AC22" s="75"/>
      <c r="AD22" s="17"/>
      <c r="AE22" s="75"/>
      <c r="AF22" s="23"/>
      <c r="AG22" s="75"/>
      <c r="AH22" s="17"/>
      <c r="AI22" s="75"/>
      <c r="AJ22" s="17"/>
      <c r="AK22" s="75"/>
      <c r="AL22" s="17"/>
      <c r="AM22" s="75"/>
      <c r="AN22" s="17"/>
      <c r="AO22" s="75"/>
      <c r="AP22" s="17"/>
      <c r="AR22" s="17"/>
    </row>
    <row r="23" spans="2:49" ht="10.5" customHeight="1">
      <c r="B23" s="42">
        <v>9</v>
      </c>
      <c r="C23" s="42"/>
      <c r="D23" s="16" t="s">
        <v>1156</v>
      </c>
      <c r="E23" s="75" t="s">
        <v>78</v>
      </c>
      <c r="G23" s="75" t="s">
        <v>78</v>
      </c>
      <c r="I23" s="75" t="s">
        <v>78</v>
      </c>
      <c r="K23" s="75" t="s">
        <v>78</v>
      </c>
      <c r="M23" s="75" t="s">
        <v>78</v>
      </c>
      <c r="O23" s="75" t="s">
        <v>78</v>
      </c>
      <c r="Q23" s="75" t="s">
        <v>78</v>
      </c>
      <c r="S23" s="75" t="s">
        <v>78</v>
      </c>
      <c r="U23" s="75">
        <v>567.58749799999975</v>
      </c>
      <c r="V23" s="17"/>
      <c r="W23" s="75">
        <v>591.91171300000008</v>
      </c>
      <c r="Y23" s="75">
        <v>552.30783000000008</v>
      </c>
      <c r="Z23" s="78"/>
      <c r="AA23" s="75">
        <v>499.40768400000002</v>
      </c>
      <c r="AB23" s="17"/>
      <c r="AC23" s="75">
        <v>485.78236754660901</v>
      </c>
      <c r="AD23" s="17"/>
      <c r="AE23" s="75">
        <v>479.25292982432819</v>
      </c>
      <c r="AF23" s="23"/>
      <c r="AG23" s="75">
        <v>361.04471543776452</v>
      </c>
      <c r="AH23" s="17"/>
      <c r="AI23" s="75">
        <v>338.82303945979339</v>
      </c>
      <c r="AJ23" s="17"/>
      <c r="AK23" s="75">
        <v>377.48630997187934</v>
      </c>
      <c r="AL23" s="17"/>
      <c r="AM23" s="75">
        <v>340.89223358282607</v>
      </c>
      <c r="AN23" s="17"/>
      <c r="AO23" s="292">
        <v>329.99099194188631</v>
      </c>
      <c r="AP23" s="17"/>
      <c r="AQ23" s="75">
        <v>212.48779948446193</v>
      </c>
      <c r="AR23" s="17"/>
      <c r="AS23" s="75">
        <v>382.73536949669568</v>
      </c>
      <c r="AU23" s="75">
        <v>399.21149913005098</v>
      </c>
      <c r="AW23" s="75"/>
    </row>
    <row r="24" spans="2:49" ht="10.5" customHeight="1">
      <c r="B24" s="42">
        <v>10</v>
      </c>
      <c r="C24" s="42"/>
      <c r="D24" s="16" t="s">
        <v>1155</v>
      </c>
      <c r="E24" s="75" t="s">
        <v>78</v>
      </c>
      <c r="G24" s="75" t="s">
        <v>78</v>
      </c>
      <c r="I24" s="75" t="s">
        <v>78</v>
      </c>
      <c r="K24" s="75" t="s">
        <v>78</v>
      </c>
      <c r="M24" s="75" t="s">
        <v>78</v>
      </c>
      <c r="O24" s="75" t="s">
        <v>78</v>
      </c>
      <c r="Q24" s="75" t="s">
        <v>78</v>
      </c>
      <c r="S24" s="75" t="s">
        <v>78</v>
      </c>
      <c r="U24" s="75">
        <v>5944.4614440000287</v>
      </c>
      <c r="V24" s="17"/>
      <c r="W24" s="75">
        <v>3832.8248790000148</v>
      </c>
      <c r="Y24" s="75">
        <v>5783.4853659999972</v>
      </c>
      <c r="Z24" s="78"/>
      <c r="AA24" s="75">
        <v>5270.148512000007</v>
      </c>
      <c r="AB24" s="17"/>
      <c r="AC24" s="75">
        <v>4030.6293701756649</v>
      </c>
      <c r="AD24" s="17"/>
      <c r="AE24" s="75">
        <v>5123.5120507318616</v>
      </c>
      <c r="AF24" s="23"/>
      <c r="AG24" s="75">
        <v>4166.4866474433657</v>
      </c>
      <c r="AH24" s="17"/>
      <c r="AI24" s="75">
        <v>4768.1027592845803</v>
      </c>
      <c r="AJ24" s="17"/>
      <c r="AK24" s="75">
        <v>4930.3725285418759</v>
      </c>
      <c r="AL24" s="17"/>
      <c r="AM24" s="75">
        <v>4990.3896027735882</v>
      </c>
      <c r="AN24" s="17"/>
      <c r="AO24" s="292">
        <v>5095.8068704516272</v>
      </c>
      <c r="AP24" s="17"/>
      <c r="AQ24" s="75">
        <v>4228.0920036858442</v>
      </c>
      <c r="AR24" s="17"/>
      <c r="AS24" s="75">
        <v>5011.5271973344261</v>
      </c>
      <c r="AU24" s="75">
        <v>5769.8022010000004</v>
      </c>
      <c r="AW24" s="75"/>
    </row>
    <row r="25" spans="2:49" ht="10.5" customHeight="1">
      <c r="B25" s="42"/>
      <c r="C25" s="42"/>
      <c r="D25" s="53" t="s">
        <v>442</v>
      </c>
      <c r="E25" s="75"/>
      <c r="G25" s="75"/>
      <c r="I25" s="75"/>
      <c r="K25" s="75"/>
      <c r="M25" s="75"/>
      <c r="O25" s="75"/>
      <c r="Q25" s="75"/>
      <c r="S25" s="75"/>
      <c r="U25" s="75"/>
      <c r="V25" s="17"/>
      <c r="W25" s="75"/>
      <c r="Y25" s="75"/>
      <c r="Z25" s="23"/>
      <c r="AA25" s="75"/>
      <c r="AB25" s="17"/>
      <c r="AC25" s="75"/>
      <c r="AD25" s="17"/>
      <c r="AE25" s="75"/>
      <c r="AF25" s="23"/>
      <c r="AG25" s="75"/>
      <c r="AH25" s="17"/>
      <c r="AI25" s="75"/>
      <c r="AJ25" s="17"/>
      <c r="AK25" s="75"/>
      <c r="AL25" s="17"/>
      <c r="AM25" s="75"/>
      <c r="AN25" s="17"/>
      <c r="AO25" s="75"/>
      <c r="AP25" s="17"/>
      <c r="AR25" s="17"/>
    </row>
    <row r="26" spans="2:49" ht="10.5" customHeight="1">
      <c r="B26" s="42"/>
      <c r="C26" s="42"/>
      <c r="D26" s="16"/>
      <c r="E26" s="75"/>
      <c r="G26" s="75"/>
      <c r="I26" s="75"/>
      <c r="K26" s="75"/>
      <c r="M26" s="75"/>
      <c r="O26" s="75"/>
      <c r="Q26" s="75"/>
      <c r="S26" s="75"/>
      <c r="U26" s="75"/>
      <c r="V26" s="17"/>
      <c r="W26" s="75"/>
      <c r="Y26" s="75"/>
      <c r="Z26" s="23"/>
      <c r="AA26" s="75"/>
      <c r="AB26" s="17"/>
      <c r="AC26" s="75"/>
      <c r="AD26" s="17"/>
      <c r="AE26" s="75"/>
      <c r="AF26" s="23"/>
      <c r="AG26" s="75"/>
      <c r="AH26" s="17"/>
      <c r="AI26" s="75"/>
      <c r="AJ26" s="17"/>
      <c r="AK26" s="75"/>
      <c r="AL26" s="17"/>
      <c r="AM26" s="75"/>
      <c r="AN26" s="17"/>
      <c r="AO26" s="75"/>
      <c r="AP26" s="17"/>
      <c r="AR26" s="17"/>
    </row>
    <row r="27" spans="2:49" ht="10.5" customHeight="1">
      <c r="B27" s="42">
        <v>11</v>
      </c>
      <c r="C27" s="42"/>
      <c r="D27" s="16" t="s">
        <v>1443</v>
      </c>
      <c r="E27" s="75" t="s">
        <v>78</v>
      </c>
      <c r="G27" s="75" t="s">
        <v>78</v>
      </c>
      <c r="I27" s="75" t="s">
        <v>78</v>
      </c>
      <c r="K27" s="75" t="s">
        <v>78</v>
      </c>
      <c r="M27" s="75" t="s">
        <v>78</v>
      </c>
      <c r="O27" s="75" t="s">
        <v>78</v>
      </c>
      <c r="Q27" s="75" t="s">
        <v>78</v>
      </c>
      <c r="S27" s="75" t="s">
        <v>78</v>
      </c>
      <c r="U27" s="75">
        <v>89.969619999999935</v>
      </c>
      <c r="V27" s="17"/>
      <c r="W27" s="75">
        <v>95.840159999999997</v>
      </c>
      <c r="Y27" s="75">
        <v>87.658141000000043</v>
      </c>
      <c r="Z27" s="23"/>
      <c r="AA27" s="75">
        <v>95.054119</v>
      </c>
      <c r="AB27" s="17"/>
      <c r="AC27" s="75">
        <v>95.317484321147731</v>
      </c>
      <c r="AD27" s="17"/>
      <c r="AE27" s="75">
        <v>69.040105802881214</v>
      </c>
      <c r="AF27" s="23"/>
      <c r="AG27" s="75">
        <v>78.389368644993965</v>
      </c>
      <c r="AH27" s="17"/>
      <c r="AI27" s="75">
        <v>76.276486000000034</v>
      </c>
      <c r="AJ27" s="17"/>
      <c r="AK27" s="75">
        <v>61.752318335080851</v>
      </c>
      <c r="AL27" s="17"/>
      <c r="AM27" s="75">
        <v>59.720706899604025</v>
      </c>
      <c r="AN27" s="17"/>
      <c r="AO27" s="292">
        <v>55.78684977689268</v>
      </c>
      <c r="AP27" s="17"/>
      <c r="AQ27" s="75">
        <v>30.692475926266802</v>
      </c>
      <c r="AR27" s="17"/>
      <c r="AS27" s="75">
        <v>67.441271554539014</v>
      </c>
      <c r="AU27" s="75">
        <v>110.608661</v>
      </c>
      <c r="AW27" s="75"/>
    </row>
    <row r="28" spans="2:49" ht="10.5" customHeight="1">
      <c r="B28" s="42">
        <v>12</v>
      </c>
      <c r="C28" s="42"/>
      <c r="D28" s="16" t="s">
        <v>839</v>
      </c>
      <c r="E28" s="75" t="s">
        <v>78</v>
      </c>
      <c r="G28" s="75" t="s">
        <v>78</v>
      </c>
      <c r="I28" s="75" t="s">
        <v>78</v>
      </c>
      <c r="K28" s="75" t="s">
        <v>78</v>
      </c>
      <c r="M28" s="75" t="s">
        <v>78</v>
      </c>
      <c r="O28" s="75" t="s">
        <v>78</v>
      </c>
      <c r="Q28" s="75" t="s">
        <v>78</v>
      </c>
      <c r="S28" s="75" t="s">
        <v>78</v>
      </c>
      <c r="U28" s="75">
        <v>770.57958399999973</v>
      </c>
      <c r="V28" s="17"/>
      <c r="W28" s="75">
        <v>589.07428899999979</v>
      </c>
      <c r="Y28" s="75">
        <v>690.70420166666611</v>
      </c>
      <c r="Z28" s="23"/>
      <c r="AA28" s="75">
        <v>794.20493099999999</v>
      </c>
      <c r="AB28" s="17"/>
      <c r="AC28" s="75">
        <v>931.15216115684916</v>
      </c>
      <c r="AD28" s="17"/>
      <c r="AE28" s="75">
        <v>817.83206746756423</v>
      </c>
      <c r="AF28" s="23"/>
      <c r="AG28" s="75">
        <v>781.30903938235292</v>
      </c>
      <c r="AH28" s="17"/>
      <c r="AI28" s="263">
        <v>926.68440149177559</v>
      </c>
      <c r="AJ28" s="23"/>
      <c r="AK28" s="75">
        <v>1028.6735981500399</v>
      </c>
      <c r="AL28" s="17"/>
      <c r="AM28" s="75">
        <v>1218.0193383785797</v>
      </c>
      <c r="AN28" s="17"/>
      <c r="AO28" s="292">
        <v>1157.0464788540994</v>
      </c>
      <c r="AP28" s="78"/>
      <c r="AQ28" s="75">
        <v>1197.329569545087</v>
      </c>
      <c r="AR28" s="17"/>
      <c r="AS28" s="75">
        <v>1200.3867213594465</v>
      </c>
      <c r="AU28" s="75">
        <v>1126.114489</v>
      </c>
      <c r="AW28" s="75"/>
    </row>
    <row r="29" spans="2:49" ht="10.5" customHeight="1">
      <c r="B29" s="42">
        <v>13</v>
      </c>
      <c r="C29" s="42"/>
      <c r="D29" s="16" t="s">
        <v>840</v>
      </c>
      <c r="E29" s="75" t="s">
        <v>78</v>
      </c>
      <c r="G29" s="75" t="s">
        <v>78</v>
      </c>
      <c r="I29" s="75" t="s">
        <v>78</v>
      </c>
      <c r="K29" s="75" t="s">
        <v>78</v>
      </c>
      <c r="M29" s="75" t="s">
        <v>78</v>
      </c>
      <c r="O29" s="75" t="s">
        <v>78</v>
      </c>
      <c r="Q29" s="75" t="s">
        <v>78</v>
      </c>
      <c r="S29" s="75" t="s">
        <v>78</v>
      </c>
      <c r="U29" s="75">
        <v>102.63620999999995</v>
      </c>
      <c r="V29" s="17"/>
      <c r="W29" s="75">
        <v>96.714840000000009</v>
      </c>
      <c r="Y29" s="75">
        <v>60.645657000000014</v>
      </c>
      <c r="Z29" s="23"/>
      <c r="AA29" s="75">
        <v>78.920466999999974</v>
      </c>
      <c r="AB29" s="17"/>
      <c r="AC29" s="75">
        <v>113.06082814171224</v>
      </c>
      <c r="AD29" s="17"/>
      <c r="AE29" s="75">
        <v>60.963326279834298</v>
      </c>
      <c r="AF29" s="23"/>
      <c r="AG29" s="75">
        <v>72.646812587188975</v>
      </c>
      <c r="AH29" s="17"/>
      <c r="AI29" s="75">
        <v>76.795456999999999</v>
      </c>
      <c r="AJ29" s="17"/>
      <c r="AK29" s="75">
        <v>58.459274798364</v>
      </c>
      <c r="AL29" s="17"/>
      <c r="AM29" s="75">
        <v>28.981246394575077</v>
      </c>
      <c r="AN29" s="17"/>
      <c r="AO29" s="292">
        <v>28.58983178368894</v>
      </c>
      <c r="AP29" s="17"/>
      <c r="AQ29" s="75">
        <v>0.12371789511704177</v>
      </c>
      <c r="AR29" s="17"/>
      <c r="AS29" s="75">
        <v>1.3804110000000001</v>
      </c>
      <c r="AU29" s="75">
        <v>2.580756</v>
      </c>
      <c r="AW29" s="75"/>
    </row>
    <row r="30" spans="2:49" ht="10.5" customHeight="1">
      <c r="B30" s="42">
        <v>14</v>
      </c>
      <c r="C30" s="42"/>
      <c r="D30" s="16" t="s">
        <v>1442</v>
      </c>
      <c r="E30" s="75" t="s">
        <v>78</v>
      </c>
      <c r="G30" s="75" t="s">
        <v>78</v>
      </c>
      <c r="I30" s="75" t="s">
        <v>78</v>
      </c>
      <c r="K30" s="75" t="s">
        <v>78</v>
      </c>
      <c r="M30" s="75" t="s">
        <v>78</v>
      </c>
      <c r="O30" s="75" t="s">
        <v>78</v>
      </c>
      <c r="Q30" s="75" t="s">
        <v>78</v>
      </c>
      <c r="S30" s="75" t="s">
        <v>78</v>
      </c>
      <c r="U30" s="75">
        <v>1664.0226980000004</v>
      </c>
      <c r="V30" s="75"/>
      <c r="W30" s="75">
        <v>1334.5063919999998</v>
      </c>
      <c r="Y30" s="75">
        <v>1596.0178989999988</v>
      </c>
      <c r="Z30" s="23"/>
      <c r="AA30" s="75">
        <v>1655.198766</v>
      </c>
      <c r="AB30" s="75"/>
      <c r="AC30" s="75">
        <v>1124.1412898492488</v>
      </c>
      <c r="AD30" s="75"/>
      <c r="AE30" s="75">
        <v>1431.2552337574</v>
      </c>
      <c r="AF30" s="23"/>
      <c r="AG30" s="75">
        <v>1548.6526794659844</v>
      </c>
      <c r="AH30" s="75"/>
      <c r="AI30" s="75">
        <v>1556.8189883333339</v>
      </c>
      <c r="AJ30" s="75"/>
      <c r="AK30" s="75">
        <v>1603.6786881532516</v>
      </c>
      <c r="AL30" s="75"/>
      <c r="AM30" s="75">
        <v>1637.8199876653111</v>
      </c>
      <c r="AN30" s="75"/>
      <c r="AO30" s="292">
        <v>1713.4081905108787</v>
      </c>
      <c r="AP30" s="75"/>
      <c r="AQ30" s="75">
        <v>1530.0435029462246</v>
      </c>
      <c r="AR30" s="75"/>
      <c r="AS30" s="75">
        <v>1711.0556509942319</v>
      </c>
      <c r="AU30" s="75">
        <v>1705.1695843459599</v>
      </c>
      <c r="AW30" s="75"/>
    </row>
    <row r="31" spans="2:49" ht="10.5" customHeight="1">
      <c r="B31" s="42">
        <v>15</v>
      </c>
      <c r="C31" s="42"/>
      <c r="D31" s="16" t="s">
        <v>841</v>
      </c>
      <c r="E31" s="75" t="s">
        <v>78</v>
      </c>
      <c r="G31" s="75" t="s">
        <v>78</v>
      </c>
      <c r="I31" s="75" t="s">
        <v>78</v>
      </c>
      <c r="K31" s="75" t="s">
        <v>78</v>
      </c>
      <c r="M31" s="75" t="s">
        <v>78</v>
      </c>
      <c r="O31" s="75" t="s">
        <v>78</v>
      </c>
      <c r="Q31" s="75" t="s">
        <v>78</v>
      </c>
      <c r="S31" s="75" t="s">
        <v>78</v>
      </c>
      <c r="U31" s="75">
        <v>247.80330000000004</v>
      </c>
      <c r="V31" s="17"/>
      <c r="W31" s="75">
        <v>246.99719999999999</v>
      </c>
      <c r="X31" s="23"/>
      <c r="Y31" s="75">
        <v>207.77953299999999</v>
      </c>
      <c r="Z31" s="23"/>
      <c r="AA31" s="75">
        <v>233.98378</v>
      </c>
      <c r="AB31" s="23"/>
      <c r="AC31" s="75">
        <v>226.95373000000001</v>
      </c>
      <c r="AD31" s="23"/>
      <c r="AE31" s="75">
        <v>237.6061</v>
      </c>
      <c r="AF31" s="23"/>
      <c r="AG31" s="75">
        <v>246.86760000000001</v>
      </c>
      <c r="AH31" s="23"/>
      <c r="AI31" s="75">
        <v>233.4939</v>
      </c>
      <c r="AJ31" s="17"/>
      <c r="AK31" s="75">
        <v>242.57692301504116</v>
      </c>
      <c r="AL31" s="17"/>
      <c r="AM31" s="75">
        <v>246.52134490859899</v>
      </c>
      <c r="AN31" s="17"/>
      <c r="AO31" s="292">
        <v>259.88722136475729</v>
      </c>
      <c r="AP31" s="17"/>
      <c r="AQ31" s="75">
        <v>234.10790775365595</v>
      </c>
      <c r="AR31" s="17"/>
      <c r="AS31" s="75">
        <v>226.81705220810989</v>
      </c>
      <c r="AU31" s="75">
        <v>221.292242324494</v>
      </c>
      <c r="AW31" s="75"/>
    </row>
    <row r="32" spans="2:49" ht="10.5" customHeight="1">
      <c r="B32" s="42"/>
      <c r="C32" s="42"/>
      <c r="D32" s="53"/>
      <c r="E32" s="75"/>
      <c r="G32" s="75"/>
      <c r="I32" s="75"/>
      <c r="K32" s="75"/>
      <c r="M32" s="75"/>
      <c r="O32" s="75"/>
      <c r="Q32" s="75"/>
      <c r="S32" s="75"/>
      <c r="U32" s="75"/>
      <c r="V32" s="17"/>
      <c r="Z32" s="23"/>
      <c r="AA32" s="75"/>
      <c r="AB32" s="17"/>
      <c r="AC32" s="75"/>
      <c r="AD32" s="17"/>
      <c r="AE32" s="75"/>
      <c r="AF32" s="23"/>
      <c r="AG32" s="75"/>
      <c r="AH32" s="17"/>
      <c r="AI32" s="75"/>
      <c r="AJ32" s="17"/>
      <c r="AK32" s="75"/>
      <c r="AL32" s="17"/>
      <c r="AM32" s="75"/>
      <c r="AN32" s="17"/>
      <c r="AO32" s="75"/>
      <c r="AP32" s="17"/>
      <c r="AR32" s="17"/>
    </row>
    <row r="33" spans="2:49" ht="10.5" customHeight="1">
      <c r="B33" s="42">
        <v>16</v>
      </c>
      <c r="C33" s="42"/>
      <c r="D33" s="16" t="s">
        <v>1441</v>
      </c>
      <c r="E33" s="75" t="s">
        <v>78</v>
      </c>
      <c r="G33" s="75" t="s">
        <v>78</v>
      </c>
      <c r="I33" s="75" t="s">
        <v>78</v>
      </c>
      <c r="K33" s="75" t="s">
        <v>78</v>
      </c>
      <c r="M33" s="75" t="s">
        <v>78</v>
      </c>
      <c r="O33" s="75" t="s">
        <v>78</v>
      </c>
      <c r="Q33" s="75" t="s">
        <v>78</v>
      </c>
      <c r="S33" s="75" t="s">
        <v>78</v>
      </c>
      <c r="U33" s="75">
        <v>1059.1841061611874</v>
      </c>
      <c r="V33" s="75"/>
      <c r="W33" s="75">
        <v>1168.5405918287206</v>
      </c>
      <c r="Y33" s="75">
        <v>1228.9102073333327</v>
      </c>
      <c r="Z33" s="23"/>
      <c r="AA33" s="75">
        <v>1188.8026647117383</v>
      </c>
      <c r="AB33" s="75"/>
      <c r="AC33" s="75">
        <v>1186.6012287046765</v>
      </c>
      <c r="AD33" s="75"/>
      <c r="AE33" s="75">
        <v>1095.1571827689554</v>
      </c>
      <c r="AF33" s="23"/>
      <c r="AG33" s="75">
        <v>1015.597995852967</v>
      </c>
      <c r="AH33" s="75"/>
      <c r="AI33" s="75">
        <v>1022.89914172737</v>
      </c>
      <c r="AJ33" s="23"/>
      <c r="AK33" s="75">
        <v>897.3539453901335</v>
      </c>
      <c r="AL33" s="75"/>
      <c r="AM33" s="75">
        <v>953.7981315203084</v>
      </c>
      <c r="AN33" s="75"/>
      <c r="AO33" s="292">
        <v>1092.4324126148081</v>
      </c>
      <c r="AP33" s="75"/>
      <c r="AQ33" s="75">
        <v>1279.8591757005568</v>
      </c>
      <c r="AR33" s="75"/>
      <c r="AS33" s="75">
        <v>1196.8238064828274</v>
      </c>
      <c r="AU33" s="75">
        <v>1232.1199770000001</v>
      </c>
      <c r="AW33" s="75"/>
    </row>
    <row r="34" spans="2:49" ht="10.5" customHeight="1">
      <c r="B34" s="42"/>
      <c r="C34" s="42"/>
      <c r="D34" s="53" t="s">
        <v>1147</v>
      </c>
      <c r="E34" s="75"/>
      <c r="G34" s="75"/>
      <c r="I34" s="75"/>
      <c r="K34" s="75"/>
      <c r="M34" s="75"/>
      <c r="O34" s="75"/>
      <c r="Q34" s="75"/>
      <c r="S34" s="75"/>
      <c r="U34" s="75"/>
      <c r="V34" s="17"/>
      <c r="W34" s="75"/>
      <c r="X34" s="23"/>
      <c r="Y34" s="75"/>
      <c r="Z34" s="23"/>
      <c r="AA34" s="75"/>
      <c r="AB34" s="17"/>
      <c r="AC34" s="75"/>
      <c r="AD34" s="17"/>
      <c r="AE34" s="75"/>
      <c r="AF34" s="23"/>
      <c r="AG34" s="75"/>
      <c r="AH34" s="17"/>
      <c r="AI34" s="75"/>
      <c r="AJ34" s="17"/>
      <c r="AK34" s="75"/>
      <c r="AL34" s="17"/>
      <c r="AM34" s="75"/>
      <c r="AN34" s="17"/>
      <c r="AO34" s="75"/>
      <c r="AP34" s="17"/>
      <c r="AR34" s="17"/>
      <c r="AW34" s="75"/>
    </row>
    <row r="35" spans="2:49" ht="10.5" customHeight="1">
      <c r="B35" s="42">
        <v>17</v>
      </c>
      <c r="C35" s="42"/>
      <c r="D35" s="16" t="s">
        <v>842</v>
      </c>
      <c r="E35" s="75" t="s">
        <v>78</v>
      </c>
      <c r="G35" s="75" t="s">
        <v>78</v>
      </c>
      <c r="I35" s="75" t="s">
        <v>78</v>
      </c>
      <c r="K35" s="75" t="s">
        <v>78</v>
      </c>
      <c r="M35" s="75" t="s">
        <v>78</v>
      </c>
      <c r="O35" s="75" t="s">
        <v>78</v>
      </c>
      <c r="Q35" s="75" t="s">
        <v>78</v>
      </c>
      <c r="S35" s="75" t="s">
        <v>78</v>
      </c>
      <c r="U35" s="75" t="s">
        <v>77</v>
      </c>
      <c r="V35" s="17"/>
      <c r="W35" s="75" t="s">
        <v>77</v>
      </c>
      <c r="X35" s="23"/>
      <c r="Y35" s="75">
        <v>1.8</v>
      </c>
      <c r="Z35" s="23"/>
      <c r="AA35" s="75" t="s">
        <v>77</v>
      </c>
      <c r="AB35" s="17"/>
      <c r="AC35" s="75" t="s">
        <v>77</v>
      </c>
      <c r="AD35" s="17"/>
      <c r="AE35" s="75" t="s">
        <v>77</v>
      </c>
      <c r="AF35" s="23"/>
      <c r="AG35" s="75" t="s">
        <v>77</v>
      </c>
      <c r="AH35" s="17"/>
      <c r="AI35" s="75" t="s">
        <v>77</v>
      </c>
      <c r="AJ35" s="17"/>
      <c r="AK35" s="75" t="s">
        <v>77</v>
      </c>
      <c r="AL35" s="17"/>
      <c r="AM35" s="75" t="s">
        <v>77</v>
      </c>
      <c r="AN35" s="17"/>
      <c r="AO35" s="75" t="s">
        <v>77</v>
      </c>
      <c r="AP35" s="17"/>
      <c r="AQ35" s="75" t="s">
        <v>77</v>
      </c>
      <c r="AR35" s="17"/>
      <c r="AS35" s="75" t="s">
        <v>77</v>
      </c>
      <c r="AU35" s="75" t="s">
        <v>77</v>
      </c>
      <c r="AW35" s="75"/>
    </row>
    <row r="36" spans="2:49" ht="10.5" customHeight="1">
      <c r="B36" s="42"/>
      <c r="C36" s="42"/>
      <c r="D36" s="53" t="s">
        <v>443</v>
      </c>
      <c r="E36" s="75"/>
      <c r="G36" s="75"/>
      <c r="I36" s="75"/>
      <c r="K36" s="75"/>
      <c r="M36" s="75"/>
      <c r="O36" s="75"/>
      <c r="Q36" s="75"/>
      <c r="S36" s="75"/>
      <c r="U36" s="75"/>
      <c r="V36" s="17"/>
      <c r="W36" s="75"/>
      <c r="X36" s="23"/>
      <c r="Y36" s="75"/>
      <c r="Z36" s="23"/>
      <c r="AA36" s="75"/>
      <c r="AB36" s="17"/>
      <c r="AC36" s="75"/>
      <c r="AD36" s="17"/>
      <c r="AE36" s="75"/>
      <c r="AF36" s="23"/>
      <c r="AG36" s="75"/>
      <c r="AH36" s="17"/>
      <c r="AI36" s="75"/>
      <c r="AJ36" s="17"/>
      <c r="AK36" s="75"/>
      <c r="AL36" s="17"/>
      <c r="AM36" s="75"/>
      <c r="AN36" s="17"/>
      <c r="AO36" s="75"/>
      <c r="AP36" s="17"/>
      <c r="AR36" s="17"/>
    </row>
    <row r="37" spans="2:49" ht="10.5" customHeight="1">
      <c r="B37" s="42">
        <v>18</v>
      </c>
      <c r="C37" s="42"/>
      <c r="D37" s="16" t="s">
        <v>843</v>
      </c>
      <c r="E37" s="75" t="s">
        <v>78</v>
      </c>
      <c r="G37" s="75" t="s">
        <v>78</v>
      </c>
      <c r="I37" s="75" t="s">
        <v>78</v>
      </c>
      <c r="K37" s="75" t="s">
        <v>78</v>
      </c>
      <c r="M37" s="75" t="s">
        <v>78</v>
      </c>
      <c r="O37" s="75" t="s">
        <v>78</v>
      </c>
      <c r="Q37" s="75" t="s">
        <v>78</v>
      </c>
      <c r="S37" s="75" t="s">
        <v>78</v>
      </c>
      <c r="U37" s="75">
        <v>1.5998500000000002</v>
      </c>
      <c r="V37" s="17"/>
      <c r="W37" s="75">
        <v>2.7120500000000001</v>
      </c>
      <c r="X37" s="23"/>
      <c r="Y37" s="75">
        <v>5.973427</v>
      </c>
      <c r="Z37" s="23"/>
      <c r="AA37" s="75">
        <v>90.342066000000003</v>
      </c>
      <c r="AB37" s="17"/>
      <c r="AC37" s="75">
        <v>38.895756179567705</v>
      </c>
      <c r="AD37" s="17"/>
      <c r="AE37" s="75">
        <v>234.53356602577099</v>
      </c>
      <c r="AF37" s="23"/>
      <c r="AG37" s="75">
        <v>255.36591397158702</v>
      </c>
      <c r="AH37" s="17"/>
      <c r="AI37" s="75">
        <v>264.01108499999992</v>
      </c>
      <c r="AJ37" s="17"/>
      <c r="AK37" s="75">
        <v>257.64549408880384</v>
      </c>
      <c r="AL37" s="17"/>
      <c r="AM37" s="75">
        <v>222.93950479594849</v>
      </c>
      <c r="AN37" s="17"/>
      <c r="AO37" s="292">
        <v>286.67360867203917</v>
      </c>
      <c r="AP37" s="17"/>
      <c r="AQ37" s="75">
        <v>221.6613851830036</v>
      </c>
      <c r="AR37" s="17"/>
      <c r="AS37" s="75">
        <v>245.57493908023028</v>
      </c>
      <c r="AU37" s="75">
        <v>296.82507399999997</v>
      </c>
      <c r="AW37" s="75"/>
    </row>
    <row r="38" spans="2:49" ht="10.5" customHeight="1">
      <c r="B38" s="42">
        <v>19</v>
      </c>
      <c r="C38" s="42"/>
      <c r="D38" s="16" t="s">
        <v>844</v>
      </c>
      <c r="E38" s="75" t="s">
        <v>78</v>
      </c>
      <c r="G38" s="75" t="s">
        <v>78</v>
      </c>
      <c r="I38" s="75" t="s">
        <v>78</v>
      </c>
      <c r="K38" s="75" t="s">
        <v>78</v>
      </c>
      <c r="M38" s="75" t="s">
        <v>78</v>
      </c>
      <c r="O38" s="75" t="s">
        <v>78</v>
      </c>
      <c r="Q38" s="75" t="s">
        <v>78</v>
      </c>
      <c r="S38" s="75" t="s">
        <v>78</v>
      </c>
      <c r="U38" s="75">
        <v>8770.0423000588562</v>
      </c>
      <c r="V38" s="146"/>
      <c r="W38" s="75">
        <v>8504.4924968379473</v>
      </c>
      <c r="X38" s="23"/>
      <c r="Y38" s="75">
        <v>9340.6966429700115</v>
      </c>
      <c r="Z38" s="23"/>
      <c r="AA38" s="75">
        <v>10074.002229822636</v>
      </c>
      <c r="AB38" s="23"/>
      <c r="AC38" s="75">
        <v>9865.4725587650246</v>
      </c>
      <c r="AD38" s="23"/>
      <c r="AE38" s="75">
        <v>7938.0947989968381</v>
      </c>
      <c r="AF38" s="23"/>
      <c r="AG38" s="75">
        <v>8952.9983356476641</v>
      </c>
      <c r="AH38" s="23"/>
      <c r="AI38" s="75">
        <v>9196.4436988078523</v>
      </c>
      <c r="AJ38" s="23"/>
      <c r="AK38" s="75">
        <v>8563.733778281663</v>
      </c>
      <c r="AL38" s="17"/>
      <c r="AM38" s="75">
        <v>8171.8295153745057</v>
      </c>
      <c r="AN38" s="17"/>
      <c r="AO38" s="292">
        <v>11187.018018326617</v>
      </c>
      <c r="AP38" s="17"/>
      <c r="AQ38" s="75">
        <v>11886.233918572418</v>
      </c>
      <c r="AR38" s="17"/>
      <c r="AS38" s="75">
        <v>8393.9846217430058</v>
      </c>
      <c r="AU38" s="75">
        <v>8598.2989312826994</v>
      </c>
      <c r="AW38" s="75"/>
    </row>
    <row r="39" spans="2:49" ht="10.5" customHeight="1">
      <c r="B39" s="42">
        <v>20</v>
      </c>
      <c r="C39" s="42"/>
      <c r="D39" s="16" t="s">
        <v>1440</v>
      </c>
      <c r="E39" s="75" t="s">
        <v>78</v>
      </c>
      <c r="G39" s="75" t="s">
        <v>78</v>
      </c>
      <c r="I39" s="75" t="s">
        <v>78</v>
      </c>
      <c r="K39" s="75" t="s">
        <v>78</v>
      </c>
      <c r="M39" s="75" t="s">
        <v>78</v>
      </c>
      <c r="O39" s="75" t="s">
        <v>78</v>
      </c>
      <c r="Q39" s="75" t="s">
        <v>78</v>
      </c>
      <c r="S39" s="75" t="s">
        <v>78</v>
      </c>
      <c r="U39" s="75" t="s">
        <v>77</v>
      </c>
      <c r="V39" s="17"/>
      <c r="W39" s="75" t="s">
        <v>77</v>
      </c>
      <c r="X39" s="23"/>
      <c r="Y39" s="75">
        <v>9.9529700000000005</v>
      </c>
      <c r="Z39" s="23"/>
      <c r="AA39" s="75">
        <v>21.735660000000003</v>
      </c>
      <c r="AB39" s="17"/>
      <c r="AC39" s="75">
        <v>17.9465</v>
      </c>
      <c r="AD39" s="17"/>
      <c r="AE39" s="75">
        <v>24.862634688264059</v>
      </c>
      <c r="AF39" s="23"/>
      <c r="AG39" s="75">
        <v>17.537250684062052</v>
      </c>
      <c r="AH39" s="17"/>
      <c r="AI39" s="75" t="s">
        <v>77</v>
      </c>
      <c r="AJ39" s="17"/>
      <c r="AK39" s="75" t="s">
        <v>77</v>
      </c>
      <c r="AL39" s="17"/>
      <c r="AM39" s="75" t="s">
        <v>77</v>
      </c>
      <c r="AN39" s="17"/>
      <c r="AO39" s="292">
        <v>3.9323423870987688</v>
      </c>
      <c r="AP39" s="17"/>
      <c r="AQ39" s="75">
        <v>37.827609003324284</v>
      </c>
      <c r="AR39" s="17"/>
      <c r="AS39" s="75">
        <v>43.772992561079668</v>
      </c>
      <c r="AU39" s="75">
        <v>165.10400000000001</v>
      </c>
      <c r="AW39" s="75"/>
    </row>
    <row r="40" spans="2:49" ht="10.5" customHeight="1">
      <c r="B40" s="42"/>
      <c r="C40" s="42"/>
      <c r="D40" s="16"/>
      <c r="E40" s="75"/>
      <c r="G40" s="75"/>
      <c r="I40" s="75"/>
      <c r="K40" s="75"/>
      <c r="M40" s="75"/>
      <c r="O40" s="75"/>
      <c r="Q40" s="75"/>
      <c r="S40" s="75"/>
      <c r="U40" s="75"/>
      <c r="V40" s="75"/>
      <c r="W40" s="75"/>
      <c r="X40" s="23"/>
      <c r="Y40" s="75"/>
      <c r="Z40" s="23"/>
      <c r="AA40" s="75"/>
      <c r="AB40" s="75"/>
      <c r="AC40" s="75"/>
      <c r="AD40" s="75"/>
      <c r="AE40" s="75"/>
      <c r="AF40" s="23"/>
      <c r="AG40" s="75"/>
      <c r="AH40" s="75"/>
      <c r="AI40" s="75"/>
      <c r="AJ40" s="75"/>
      <c r="AL40" s="75"/>
      <c r="AM40" s="75"/>
      <c r="AN40" s="75"/>
      <c r="AO40" s="75"/>
      <c r="AP40" s="75"/>
      <c r="AQ40" s="75"/>
      <c r="AR40" s="75"/>
      <c r="AS40" s="75"/>
      <c r="AU40" s="75"/>
    </row>
    <row r="41" spans="2:49" ht="10.5" customHeight="1">
      <c r="B41" s="42">
        <v>21</v>
      </c>
      <c r="D41" s="18" t="s">
        <v>498</v>
      </c>
      <c r="E41" s="133">
        <v>57253.137999999999</v>
      </c>
      <c r="F41" s="43"/>
      <c r="G41" s="133">
        <v>55205.343999999997</v>
      </c>
      <c r="H41" s="43"/>
      <c r="I41" s="246">
        <v>54779.626189999995</v>
      </c>
      <c r="J41" s="43"/>
      <c r="K41" s="133">
        <v>57874.039436666666</v>
      </c>
      <c r="L41" s="43"/>
      <c r="M41" s="133">
        <v>60157.406900000002</v>
      </c>
      <c r="N41" s="43"/>
      <c r="O41" s="133">
        <v>63198.091080342543</v>
      </c>
      <c r="P41" s="43"/>
      <c r="Q41" s="133">
        <v>64944.474279999995</v>
      </c>
      <c r="R41" s="43"/>
      <c r="S41" s="133">
        <v>67808.589775383924</v>
      </c>
      <c r="T41" s="43"/>
      <c r="U41" s="133">
        <v>65632.263308886759</v>
      </c>
      <c r="V41" s="147"/>
      <c r="W41" s="133">
        <v>56466.380578000018</v>
      </c>
      <c r="X41" s="67"/>
      <c r="Y41" s="133">
        <f>Y9+Y11+Y12+Y13+Y14+Y17+Y19+Y21+Y23+Y24+Y27+Y28+Y29+Y30+Y31+Y33+Y35+Y37+Y38+Y39</f>
        <v>68328.554950970007</v>
      </c>
      <c r="Z41" s="67"/>
      <c r="AA41" s="133">
        <v>67906.684201534386</v>
      </c>
      <c r="AB41" s="17"/>
      <c r="AC41" s="133">
        <v>65788.69542142938</v>
      </c>
      <c r="AD41" s="17"/>
      <c r="AE41" s="133">
        <v>67046.57778417092</v>
      </c>
      <c r="AF41" s="23"/>
      <c r="AG41" s="133">
        <v>68034.889490097528</v>
      </c>
      <c r="AH41" s="17"/>
      <c r="AI41" s="133">
        <v>64998.634099142095</v>
      </c>
      <c r="AJ41" s="133"/>
      <c r="AK41" s="133">
        <v>67478.709408035691</v>
      </c>
      <c r="AL41" s="133"/>
      <c r="AM41" s="133">
        <v>69350.257157756118</v>
      </c>
      <c r="AN41" s="133"/>
      <c r="AO41" s="246">
        <v>69122.791395014734</v>
      </c>
      <c r="AP41" s="78"/>
      <c r="AQ41" s="133">
        <v>68220.053795176776</v>
      </c>
      <c r="AR41" s="78"/>
      <c r="AS41" s="133">
        <v>69804.992882890874</v>
      </c>
      <c r="AU41" s="133">
        <v>72458.225317848613</v>
      </c>
      <c r="AW41" s="75"/>
    </row>
    <row r="42" spans="2:49" ht="6" customHeight="1">
      <c r="B42" s="34"/>
      <c r="C42" s="77"/>
      <c r="D42" s="56"/>
      <c r="E42" s="141"/>
      <c r="F42" s="130"/>
      <c r="G42" s="141"/>
      <c r="H42" s="130"/>
      <c r="I42" s="141"/>
      <c r="J42" s="130"/>
      <c r="K42" s="141"/>
      <c r="L42" s="130"/>
      <c r="M42" s="141"/>
      <c r="N42" s="130"/>
      <c r="O42" s="141"/>
      <c r="P42" s="130"/>
      <c r="Q42" s="141"/>
      <c r="R42" s="130"/>
      <c r="S42" s="141"/>
      <c r="T42" s="130"/>
      <c r="U42" s="141"/>
      <c r="V42" s="84"/>
      <c r="W42" s="141"/>
      <c r="X42" s="85"/>
      <c r="Y42" s="141"/>
      <c r="Z42" s="85"/>
      <c r="AA42" s="141"/>
      <c r="AB42" s="141"/>
      <c r="AC42" s="141"/>
      <c r="AD42" s="141"/>
      <c r="AE42" s="141"/>
      <c r="AF42" s="141"/>
      <c r="AG42" s="141"/>
      <c r="AH42" s="141"/>
      <c r="AI42" s="141"/>
      <c r="AJ42" s="141"/>
      <c r="AK42" s="141"/>
      <c r="AL42" s="141"/>
      <c r="AM42" s="141"/>
      <c r="AN42" s="141"/>
      <c r="AO42" s="141"/>
      <c r="AP42" s="141"/>
      <c r="AQ42" s="141"/>
      <c r="AR42" s="141"/>
      <c r="AS42" s="141"/>
      <c r="AU42" s="141"/>
    </row>
    <row r="43" spans="2:49" ht="6" customHeight="1">
      <c r="B43" s="42"/>
      <c r="D43" s="16"/>
      <c r="E43" s="75"/>
      <c r="G43" s="75"/>
      <c r="I43" s="75"/>
      <c r="K43" s="75"/>
      <c r="M43" s="75"/>
      <c r="O43" s="75"/>
      <c r="Q43" s="75"/>
      <c r="S43" s="75"/>
      <c r="U43" s="75"/>
      <c r="V43" s="75"/>
      <c r="W43" s="28"/>
      <c r="X43" s="23"/>
      <c r="Y43" s="75"/>
      <c r="Z43" s="23"/>
      <c r="AA43" s="75"/>
      <c r="AB43" s="75"/>
      <c r="AC43" s="75"/>
      <c r="AD43" s="75"/>
      <c r="AE43" s="75"/>
      <c r="AF43" s="75"/>
      <c r="AG43" s="75"/>
      <c r="AH43" s="75"/>
      <c r="AI43" s="75"/>
      <c r="AJ43" s="75"/>
      <c r="AL43" s="75"/>
      <c r="AM43" s="75"/>
      <c r="AN43" s="75"/>
      <c r="AO43" s="75"/>
      <c r="AP43" s="75"/>
      <c r="AQ43" s="75"/>
      <c r="AR43" s="75"/>
      <c r="AS43" s="75"/>
      <c r="AU43" s="75"/>
    </row>
    <row r="44" spans="2:49" ht="10.5" customHeight="1">
      <c r="B44" s="42"/>
      <c r="D44" s="69" t="s">
        <v>444</v>
      </c>
      <c r="E44" s="75"/>
      <c r="G44" s="75"/>
      <c r="I44" s="75"/>
      <c r="K44" s="75"/>
      <c r="M44" s="75"/>
      <c r="O44" s="75"/>
      <c r="Q44" s="75"/>
      <c r="S44" s="75"/>
      <c r="U44" s="75"/>
      <c r="V44" s="17"/>
      <c r="W44" s="28"/>
      <c r="Y44" s="75"/>
      <c r="Z44" s="23"/>
      <c r="AA44" s="75"/>
      <c r="AB44" s="17"/>
      <c r="AC44" s="75"/>
      <c r="AD44" s="17"/>
      <c r="AE44" s="75"/>
      <c r="AF44" s="17"/>
      <c r="AG44" s="75"/>
      <c r="AH44" s="17"/>
      <c r="AI44" s="75"/>
      <c r="AJ44" s="17"/>
      <c r="AL44" s="17"/>
      <c r="AM44" s="75"/>
      <c r="AN44" s="17"/>
      <c r="AO44" s="75"/>
      <c r="AP44" s="17"/>
      <c r="AQ44" s="75"/>
      <c r="AR44" s="17"/>
      <c r="AS44" s="75"/>
      <c r="AU44" s="75"/>
    </row>
    <row r="45" spans="2:49" ht="10.5" customHeight="1">
      <c r="B45" s="42">
        <v>22</v>
      </c>
      <c r="D45" s="27" t="s">
        <v>499</v>
      </c>
      <c r="E45" s="28">
        <v>5459.5</v>
      </c>
      <c r="F45" s="23"/>
      <c r="G45" s="28">
        <v>5169</v>
      </c>
      <c r="H45" s="23"/>
      <c r="I45" s="28">
        <v>5447.7489999999998</v>
      </c>
      <c r="J45" s="23"/>
      <c r="K45" s="28">
        <v>5426.7509999999993</v>
      </c>
      <c r="L45" s="23"/>
      <c r="M45" s="28">
        <v>5268.5309999999999</v>
      </c>
      <c r="N45" s="23"/>
      <c r="O45" s="28">
        <v>7853.8888900000002</v>
      </c>
      <c r="P45" s="23"/>
      <c r="Q45" s="28">
        <v>7467.8271200000008</v>
      </c>
      <c r="R45" s="23"/>
      <c r="S45" s="28">
        <v>7579.9375938777721</v>
      </c>
      <c r="T45" s="23"/>
      <c r="U45" s="28">
        <v>7375.8224000000064</v>
      </c>
      <c r="W45" s="75">
        <v>7148.6741210000037</v>
      </c>
      <c r="Y45" s="75">
        <v>7382.0550591030933</v>
      </c>
      <c r="Z45" s="23"/>
      <c r="AA45" s="75">
        <v>7368.5653986353691</v>
      </c>
      <c r="AB45" s="23"/>
      <c r="AC45" s="75">
        <v>7367.8010414563005</v>
      </c>
      <c r="AD45" s="23"/>
      <c r="AE45" s="75">
        <v>7608.2340658509547</v>
      </c>
      <c r="AF45" s="23"/>
      <c r="AG45" s="75">
        <v>7629.3729236639183</v>
      </c>
      <c r="AH45" s="23"/>
      <c r="AI45" s="75">
        <v>7823.6896475300991</v>
      </c>
      <c r="AJ45" s="23"/>
      <c r="AK45" s="75">
        <v>8112.0507877747432</v>
      </c>
      <c r="AL45" s="23"/>
      <c r="AM45" s="75">
        <v>7868.5147108800566</v>
      </c>
      <c r="AN45" s="23"/>
      <c r="AO45" s="292">
        <v>7440.8202094863082</v>
      </c>
      <c r="AP45" s="23"/>
      <c r="AQ45" s="75">
        <v>7707.1214300215797</v>
      </c>
      <c r="AR45" s="23"/>
      <c r="AS45" s="75">
        <v>6453.0996701340573</v>
      </c>
      <c r="AU45" s="263">
        <v>9176.2615797633607</v>
      </c>
    </row>
    <row r="46" spans="2:49" ht="12.75" customHeight="1">
      <c r="B46" s="42">
        <v>23</v>
      </c>
      <c r="D46" s="27" t="s">
        <v>668</v>
      </c>
      <c r="E46" s="28">
        <v>822.5</v>
      </c>
      <c r="F46" s="75"/>
      <c r="G46" s="28">
        <v>717.5</v>
      </c>
      <c r="H46" s="75"/>
      <c r="I46" s="28">
        <v>615.375</v>
      </c>
      <c r="J46" s="75"/>
      <c r="K46" s="28">
        <v>566.31899999999996</v>
      </c>
      <c r="L46" s="75"/>
      <c r="M46" s="28">
        <v>419.13299999999998</v>
      </c>
      <c r="N46" s="75"/>
      <c r="O46" s="28">
        <v>378.34830999999997</v>
      </c>
      <c r="P46" s="75"/>
      <c r="Q46" s="28">
        <v>321.09953999999999</v>
      </c>
      <c r="R46" s="75"/>
      <c r="S46" s="28">
        <v>394.309663</v>
      </c>
      <c r="T46" s="75"/>
      <c r="U46" s="28">
        <v>359.42530399999987</v>
      </c>
      <c r="W46" s="75">
        <v>514.07869399999981</v>
      </c>
      <c r="Y46" s="75">
        <v>471.60635999999994</v>
      </c>
      <c r="Z46" s="23"/>
      <c r="AA46" s="75">
        <v>460.70255900000001</v>
      </c>
      <c r="AB46" s="75"/>
      <c r="AC46" s="75">
        <v>417.49931093808129</v>
      </c>
      <c r="AD46" s="75"/>
      <c r="AE46" s="75">
        <v>478.11868314425044</v>
      </c>
      <c r="AF46" s="23"/>
      <c r="AG46" s="75">
        <v>443.11675822812623</v>
      </c>
      <c r="AH46" s="75"/>
      <c r="AI46" s="75">
        <v>375.95328471544724</v>
      </c>
      <c r="AJ46" s="23"/>
      <c r="AK46" s="75">
        <v>378.77876877661953</v>
      </c>
      <c r="AL46" s="75"/>
      <c r="AM46" s="75">
        <v>400.31739560629342</v>
      </c>
      <c r="AN46" s="75"/>
      <c r="AO46" s="292">
        <v>368.97033409850991</v>
      </c>
      <c r="AP46" s="23"/>
      <c r="AQ46" s="75">
        <v>378.82340805731036</v>
      </c>
      <c r="AR46" s="75"/>
      <c r="AS46" s="75">
        <v>332.50774417247851</v>
      </c>
      <c r="AU46" s="75">
        <v>302.84067199999998</v>
      </c>
    </row>
    <row r="47" spans="2:49" ht="10.5" customHeight="1">
      <c r="B47" s="42">
        <v>24</v>
      </c>
      <c r="D47" s="27" t="s">
        <v>500</v>
      </c>
      <c r="E47" s="28">
        <v>477</v>
      </c>
      <c r="F47" s="17"/>
      <c r="G47" s="28">
        <v>577</v>
      </c>
      <c r="H47" s="17"/>
      <c r="I47" s="28">
        <v>500.27300000000002</v>
      </c>
      <c r="J47" s="17"/>
      <c r="K47" s="28">
        <v>459.24200000000002</v>
      </c>
      <c r="L47" s="17"/>
      <c r="M47" s="28">
        <v>399.07299999999998</v>
      </c>
      <c r="N47" s="17"/>
      <c r="O47" s="28">
        <v>387.48955000000001</v>
      </c>
      <c r="P47" s="17"/>
      <c r="Q47" s="28">
        <v>336.98385999999999</v>
      </c>
      <c r="R47" s="17"/>
      <c r="S47" s="28">
        <v>373.06229999999999</v>
      </c>
      <c r="T47" s="17"/>
      <c r="U47" s="28">
        <v>300.11678000000001</v>
      </c>
      <c r="W47" s="75">
        <v>522.53182000000004</v>
      </c>
      <c r="Y47" s="75">
        <v>706.21011989690714</v>
      </c>
      <c r="Z47" s="23"/>
      <c r="AA47" s="75">
        <v>676.31600953186842</v>
      </c>
      <c r="AB47" s="17"/>
      <c r="AC47" s="75">
        <v>680.31820569175318</v>
      </c>
      <c r="AD47" s="17"/>
      <c r="AE47" s="75">
        <v>770.15720394964433</v>
      </c>
      <c r="AF47" s="23"/>
      <c r="AG47" s="75">
        <v>989.83904715310189</v>
      </c>
      <c r="AH47" s="17"/>
      <c r="AI47" s="75">
        <v>998.05246268735982</v>
      </c>
      <c r="AJ47" s="17"/>
      <c r="AK47" s="75">
        <v>1051.6978879761903</v>
      </c>
      <c r="AL47" s="17"/>
      <c r="AM47" s="75">
        <v>942.80777492332959</v>
      </c>
      <c r="AN47" s="17"/>
      <c r="AO47" s="292">
        <v>716.71388245134779</v>
      </c>
      <c r="AP47" s="17"/>
      <c r="AQ47" s="75">
        <v>1189.0818769088387</v>
      </c>
      <c r="AR47" s="17"/>
      <c r="AS47" s="75">
        <v>1517.8752994233455</v>
      </c>
      <c r="AU47" s="75">
        <v>1292.5857965</v>
      </c>
    </row>
    <row r="48" spans="2:49" ht="10.5" customHeight="1">
      <c r="B48" s="42">
        <v>25</v>
      </c>
      <c r="D48" s="27" t="s">
        <v>501</v>
      </c>
      <c r="E48" s="28">
        <v>176</v>
      </c>
      <c r="F48" s="17"/>
      <c r="G48" s="28">
        <v>152</v>
      </c>
      <c r="H48" s="17"/>
      <c r="I48" s="28">
        <v>143.62700000000001</v>
      </c>
      <c r="J48" s="17"/>
      <c r="K48" s="28">
        <v>153.274</v>
      </c>
      <c r="L48" s="17"/>
      <c r="M48" s="28">
        <v>154.18</v>
      </c>
      <c r="N48" s="17"/>
      <c r="O48" s="28">
        <v>160.82987</v>
      </c>
      <c r="P48" s="17"/>
      <c r="Q48" s="28">
        <v>176.33886999999999</v>
      </c>
      <c r="R48" s="17"/>
      <c r="S48" s="28">
        <v>187.83061999999998</v>
      </c>
      <c r="T48" s="17"/>
      <c r="U48" s="28">
        <v>205.75932</v>
      </c>
      <c r="W48" s="75">
        <v>166.12540900000005</v>
      </c>
      <c r="Y48" s="75">
        <v>152.468895</v>
      </c>
      <c r="Z48" s="23"/>
      <c r="AA48" s="75">
        <v>186.54590000000002</v>
      </c>
      <c r="AB48" s="17"/>
      <c r="AC48" s="75">
        <v>197.74628000000001</v>
      </c>
      <c r="AD48" s="17"/>
      <c r="AE48" s="75">
        <v>160.83827199999999</v>
      </c>
      <c r="AF48" s="23"/>
      <c r="AG48" s="75">
        <v>330.20145251510809</v>
      </c>
      <c r="AH48" s="17"/>
      <c r="AI48" s="75">
        <v>199.13681645979352</v>
      </c>
      <c r="AJ48" s="17"/>
      <c r="AK48" s="75">
        <v>206.46746901593389</v>
      </c>
      <c r="AL48" s="17"/>
      <c r="AM48" s="75">
        <v>209.25977984929696</v>
      </c>
      <c r="AN48" s="17"/>
      <c r="AO48" s="292">
        <v>205.26303287229268</v>
      </c>
      <c r="AP48" s="23"/>
      <c r="AQ48" s="75">
        <v>175.7355665543885</v>
      </c>
      <c r="AR48" s="17"/>
      <c r="AS48" s="75">
        <v>189.51363739082629</v>
      </c>
      <c r="AU48" s="75">
        <v>219.786485</v>
      </c>
    </row>
    <row r="49" spans="2:48" ht="10.5" customHeight="1">
      <c r="B49" s="42">
        <v>26</v>
      </c>
      <c r="D49" s="27" t="s">
        <v>502</v>
      </c>
      <c r="E49" s="28">
        <v>4506</v>
      </c>
      <c r="F49" s="75"/>
      <c r="G49" s="28">
        <v>4313</v>
      </c>
      <c r="H49" s="75"/>
      <c r="I49" s="28">
        <v>4376.9080000000004</v>
      </c>
      <c r="J49" s="75"/>
      <c r="K49" s="28">
        <v>4415.1949999999997</v>
      </c>
      <c r="L49" s="75"/>
      <c r="M49" s="28">
        <v>4836.96</v>
      </c>
      <c r="N49" s="75"/>
      <c r="O49" s="28">
        <v>4992.2629500000003</v>
      </c>
      <c r="P49" s="75"/>
      <c r="Q49" s="28">
        <v>5616.31351</v>
      </c>
      <c r="R49" s="75"/>
      <c r="S49" s="28">
        <v>5601.3177511162894</v>
      </c>
      <c r="T49" s="75"/>
      <c r="U49" s="28">
        <v>5217.8287500000033</v>
      </c>
      <c r="W49" s="75">
        <v>5084.4736933333334</v>
      </c>
      <c r="Y49" s="75">
        <v>5017.0284400000019</v>
      </c>
      <c r="Z49" s="23"/>
      <c r="AA49" s="75">
        <v>4834.5452730000034</v>
      </c>
      <c r="AB49" s="75"/>
      <c r="AC49" s="75">
        <v>5275.3032309999999</v>
      </c>
      <c r="AD49" s="75"/>
      <c r="AE49" s="75">
        <v>4485.9979500000009</v>
      </c>
      <c r="AF49" s="23"/>
      <c r="AG49" s="75">
        <v>4288.6064289999995</v>
      </c>
      <c r="AH49" s="75"/>
      <c r="AI49" s="75">
        <v>4553.787503999999</v>
      </c>
      <c r="AJ49" s="75"/>
      <c r="AK49" s="75">
        <v>4685.7918662333805</v>
      </c>
      <c r="AL49" s="75"/>
      <c r="AM49" s="75">
        <v>4921.3792824509674</v>
      </c>
      <c r="AN49" s="75"/>
      <c r="AO49" s="292">
        <v>5003.3637635560353</v>
      </c>
      <c r="AP49" s="23"/>
      <c r="AQ49" s="75">
        <v>4913.212745132686</v>
      </c>
      <c r="AR49" s="75"/>
      <c r="AS49" s="75">
        <v>5372.0359817270428</v>
      </c>
      <c r="AU49" s="75">
        <v>5237.8472148401497</v>
      </c>
    </row>
    <row r="50" spans="2:48" ht="6" customHeight="1">
      <c r="B50" s="13"/>
      <c r="C50" s="13"/>
      <c r="D50" s="148"/>
      <c r="E50" s="123"/>
      <c r="F50" s="123"/>
      <c r="G50" s="123"/>
      <c r="H50" s="123"/>
      <c r="I50" s="123"/>
      <c r="J50" s="123"/>
      <c r="K50" s="123"/>
      <c r="L50" s="123"/>
      <c r="M50" s="123"/>
      <c r="N50" s="123"/>
      <c r="O50" s="123"/>
      <c r="P50" s="123"/>
      <c r="Q50" s="123"/>
      <c r="R50" s="123"/>
      <c r="S50" s="123"/>
      <c r="T50" s="123"/>
      <c r="U50" s="123"/>
      <c r="V50" s="123"/>
      <c r="W50" s="123"/>
      <c r="X50" s="123"/>
      <c r="Y50" s="13"/>
      <c r="Z50" s="123"/>
      <c r="AA50" s="14"/>
      <c r="AB50" s="123"/>
      <c r="AC50" s="123"/>
      <c r="AD50" s="123"/>
      <c r="AE50" s="14"/>
      <c r="AF50" s="123"/>
      <c r="AG50" s="14"/>
      <c r="AH50" s="123"/>
      <c r="AI50" s="14"/>
      <c r="AJ50" s="123"/>
      <c r="AK50" s="14"/>
      <c r="AL50" s="123"/>
      <c r="AM50" s="14"/>
      <c r="AN50" s="123"/>
      <c r="AO50" s="14"/>
      <c r="AP50" s="123"/>
      <c r="AQ50" s="14"/>
      <c r="AR50" s="123"/>
      <c r="AS50" s="14"/>
      <c r="AT50" s="123"/>
      <c r="AU50" s="14"/>
      <c r="AV50" s="123"/>
    </row>
    <row r="51" spans="2:48" ht="3.75" customHeight="1"/>
    <row r="52" spans="2:48" ht="63" customHeight="1">
      <c r="B52" s="539" t="s">
        <v>1179</v>
      </c>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c r="AH52" s="539"/>
      <c r="AI52" s="539"/>
      <c r="AJ52" s="539"/>
      <c r="AK52" s="539"/>
      <c r="AL52" s="539"/>
      <c r="AM52" s="539"/>
      <c r="AN52" s="539"/>
      <c r="AO52" s="539"/>
      <c r="AP52" s="539"/>
      <c r="AQ52" s="539"/>
      <c r="AR52" s="539"/>
      <c r="AS52" s="540"/>
      <c r="AT52" s="344"/>
      <c r="AV52" s="344"/>
    </row>
    <row r="53" spans="2:48" ht="15" customHeight="1">
      <c r="B53" s="53"/>
    </row>
    <row r="56" spans="2:48">
      <c r="B56" s="150"/>
    </row>
    <row r="57" spans="2:48">
      <c r="B57" s="151"/>
    </row>
    <row r="58" spans="2:48">
      <c r="B58" s="151"/>
    </row>
  </sheetData>
  <mergeCells count="48">
    <mergeCell ref="S6:S7"/>
    <mergeCell ref="T6:T7"/>
    <mergeCell ref="AU6:AU7"/>
    <mergeCell ref="AV6:AV7"/>
    <mergeCell ref="AI6:AI7"/>
    <mergeCell ref="AJ6:AJ7"/>
    <mergeCell ref="AE6:AE7"/>
    <mergeCell ref="AF6:AF7"/>
    <mergeCell ref="AG6:AG7"/>
    <mergeCell ref="AH6:AH7"/>
    <mergeCell ref="AS6:AS7"/>
    <mergeCell ref="AT6:AT7"/>
    <mergeCell ref="AO6:AO7"/>
    <mergeCell ref="AP6:AP7"/>
    <mergeCell ref="AQ6:AQ7"/>
    <mergeCell ref="AR6:AR7"/>
    <mergeCell ref="E6:E7"/>
    <mergeCell ref="F6:F7"/>
    <mergeCell ref="G6:G7"/>
    <mergeCell ref="H6:H7"/>
    <mergeCell ref="I6:I7"/>
    <mergeCell ref="J6:J7"/>
    <mergeCell ref="K6:K7"/>
    <mergeCell ref="L6:L7"/>
    <mergeCell ref="M6:M7"/>
    <mergeCell ref="N6:N7"/>
    <mergeCell ref="AD6:AD7"/>
    <mergeCell ref="Y6:Y7"/>
    <mergeCell ref="Z6:Z7"/>
    <mergeCell ref="AA6:AA7"/>
    <mergeCell ref="AB6:AB7"/>
    <mergeCell ref="AC6:AC7"/>
    <mergeCell ref="B6:B7"/>
    <mergeCell ref="C6:D6"/>
    <mergeCell ref="B52:AS52"/>
    <mergeCell ref="C7:D7"/>
    <mergeCell ref="AK6:AK7"/>
    <mergeCell ref="AL6:AL7"/>
    <mergeCell ref="AM6:AM7"/>
    <mergeCell ref="AN6:AN7"/>
    <mergeCell ref="U6:U7"/>
    <mergeCell ref="V6:V7"/>
    <mergeCell ref="W6:W7"/>
    <mergeCell ref="X6:X7"/>
    <mergeCell ref="O6:O7"/>
    <mergeCell ref="P6:P7"/>
    <mergeCell ref="Q6:Q7"/>
    <mergeCell ref="R6:R7"/>
  </mergeCells>
  <printOptions horizontalCentered="1"/>
  <pageMargins left="0" right="0" top="0" bottom="0" header="0" footer="0"/>
  <pageSetup paperSize="9" scale="88" orientation="portrait"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V53"/>
  <sheetViews>
    <sheetView workbookViewId="0"/>
  </sheetViews>
  <sheetFormatPr defaultColWidth="9.109375" defaultRowHeight="13.8" outlineLevelCol="1"/>
  <cols>
    <col min="1" max="1" width="1.33203125" style="11" customWidth="1"/>
    <col min="2" max="2" width="4.33203125" style="11" customWidth="1"/>
    <col min="3" max="3" width="0.88671875" style="11" customWidth="1"/>
    <col min="4" max="4" width="60.6640625" style="11" customWidth="1"/>
    <col min="5" max="5" width="6.6640625" style="11" hidden="1" customWidth="1" outlineLevel="1"/>
    <col min="6" max="6" width="1.33203125" style="11" hidden="1" customWidth="1" outlineLevel="1"/>
    <col min="7" max="7" width="6.6640625" style="11" hidden="1" customWidth="1" outlineLevel="1"/>
    <col min="8" max="8" width="1.33203125" style="11" hidden="1" customWidth="1" outlineLevel="1"/>
    <col min="9" max="9" width="6.6640625" style="11" hidden="1" customWidth="1" outlineLevel="1"/>
    <col min="10" max="10" width="1.33203125" style="11" hidden="1" customWidth="1" outlineLevel="1"/>
    <col min="11" max="11" width="6.6640625" style="11" hidden="1" customWidth="1" outlineLevel="1"/>
    <col min="12" max="12" width="1.33203125" style="11" hidden="1" customWidth="1" outlineLevel="1"/>
    <col min="13" max="13" width="6.6640625" style="11" hidden="1" customWidth="1" outlineLevel="1"/>
    <col min="14" max="14" width="1.33203125" style="11" hidden="1" customWidth="1" outlineLevel="1"/>
    <col min="15" max="15" width="6.6640625" style="11" hidden="1" customWidth="1" outlineLevel="1"/>
    <col min="16" max="16" width="1.33203125" style="11" hidden="1" customWidth="1" outlineLevel="1"/>
    <col min="17" max="17" width="6.6640625" style="11" hidden="1" customWidth="1" outlineLevel="1"/>
    <col min="18" max="18" width="1.33203125" style="11" hidden="1" customWidth="1" outlineLevel="1"/>
    <col min="19" max="19" width="6.6640625" style="11" hidden="1" customWidth="1" outlineLevel="1"/>
    <col min="20" max="20" width="1.33203125" style="11" hidden="1" customWidth="1" outlineLevel="1"/>
    <col min="21" max="21" width="6.6640625" style="11" hidden="1" customWidth="1" outlineLevel="1"/>
    <col min="22" max="22" width="1.33203125" style="11" hidden="1" customWidth="1" outlineLevel="1"/>
    <col min="23" max="23" width="6.6640625" style="11" hidden="1" customWidth="1" outlineLevel="1"/>
    <col min="24" max="24" width="1.33203125" style="11" hidden="1" customWidth="1" outlineLevel="1"/>
    <col min="25" max="25" width="6.6640625" style="11" hidden="1" customWidth="1" outlineLevel="1"/>
    <col min="26" max="26" width="1.33203125" style="11" hidden="1" customWidth="1" outlineLevel="1"/>
    <col min="27" max="27" width="6.6640625" style="11" hidden="1" customWidth="1" outlineLevel="1"/>
    <col min="28" max="28" width="1.33203125" style="11" hidden="1" customWidth="1" outlineLevel="1"/>
    <col min="29" max="29" width="6.6640625" style="11" hidden="1" customWidth="1" outlineLevel="1"/>
    <col min="30" max="30" width="1.33203125" style="11" hidden="1" customWidth="1" outlineLevel="1"/>
    <col min="31" max="31" width="6.6640625" style="11" hidden="1" customWidth="1" outlineLevel="1"/>
    <col min="32" max="32" width="1.33203125" style="11" hidden="1" customWidth="1" outlineLevel="1"/>
    <col min="33" max="33" width="6.6640625" style="11" hidden="1" customWidth="1" outlineLevel="1"/>
    <col min="34" max="34" width="1.33203125" style="11" hidden="1" customWidth="1" outlineLevel="1"/>
    <col min="35" max="35" width="6.6640625" style="11" hidden="1" customWidth="1" outlineLevel="1"/>
    <col min="36" max="36" width="1.33203125" style="11" hidden="1" customWidth="1" outlineLevel="1"/>
    <col min="37" max="37" width="6.6640625" style="11" customWidth="1" collapsed="1"/>
    <col min="38" max="38" width="1.33203125" style="11" customWidth="1"/>
    <col min="39" max="39" width="6.6640625" style="11" customWidth="1"/>
    <col min="40" max="40" width="1.33203125" style="11" customWidth="1"/>
    <col min="41" max="41" width="6.6640625" style="11" customWidth="1"/>
    <col min="42" max="42" width="1.33203125" style="11" customWidth="1"/>
    <col min="43" max="43" width="6.6640625" style="11" customWidth="1"/>
    <col min="44" max="44" width="1.33203125" style="11" customWidth="1"/>
    <col min="45" max="45" width="6.6640625" style="11" customWidth="1"/>
    <col min="46" max="46" width="1.33203125" style="11" customWidth="1"/>
    <col min="47" max="47" width="6.6640625" style="11" customWidth="1"/>
    <col min="48" max="48" width="1.33203125" style="11" customWidth="1"/>
    <col min="49" max="16384" width="9.109375" style="11"/>
  </cols>
  <sheetData>
    <row r="1" spans="2:48">
      <c r="B1" s="10" t="s">
        <v>1224</v>
      </c>
    </row>
    <row r="2" spans="2:48">
      <c r="B2" s="156" t="s">
        <v>1225</v>
      </c>
    </row>
    <row r="3" spans="2:48" ht="6" customHeight="1">
      <c r="B3" s="2"/>
    </row>
    <row r="4" spans="2:48">
      <c r="B4" s="12" t="s">
        <v>445</v>
      </c>
      <c r="E4" s="1"/>
      <c r="G4" s="1"/>
      <c r="I4" s="1"/>
      <c r="K4" s="1"/>
      <c r="M4" s="1"/>
      <c r="O4" s="1"/>
      <c r="Q4" s="1"/>
      <c r="S4" s="1"/>
    </row>
    <row r="5" spans="2:48" ht="6" customHeight="1">
      <c r="B5" s="4"/>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row>
    <row r="6" spans="2:48">
      <c r="B6" s="523"/>
      <c r="C6" s="523" t="s">
        <v>436</v>
      </c>
      <c r="D6" s="528"/>
      <c r="E6" s="476">
        <v>2000</v>
      </c>
      <c r="F6" s="476"/>
      <c r="G6" s="476">
        <v>2001</v>
      </c>
      <c r="H6" s="476"/>
      <c r="I6" s="476">
        <v>2002</v>
      </c>
      <c r="J6" s="476"/>
      <c r="K6" s="476">
        <v>2003</v>
      </c>
      <c r="L6" s="476"/>
      <c r="M6" s="476">
        <v>2004</v>
      </c>
      <c r="N6" s="476"/>
      <c r="O6" s="476">
        <v>2005</v>
      </c>
      <c r="P6" s="476"/>
      <c r="Q6" s="476">
        <v>2006</v>
      </c>
      <c r="R6" s="476"/>
      <c r="S6" s="476">
        <v>2007</v>
      </c>
      <c r="T6" s="476"/>
      <c r="U6" s="476">
        <v>2008</v>
      </c>
      <c r="V6" s="476"/>
      <c r="W6" s="476">
        <v>2009</v>
      </c>
      <c r="X6" s="476"/>
      <c r="Y6" s="476">
        <v>2010</v>
      </c>
      <c r="Z6" s="476"/>
      <c r="AA6" s="476">
        <v>2011</v>
      </c>
      <c r="AB6" s="476"/>
      <c r="AC6" s="476">
        <v>2012</v>
      </c>
      <c r="AD6" s="476"/>
      <c r="AE6" s="476">
        <v>2013</v>
      </c>
      <c r="AF6" s="476"/>
      <c r="AG6" s="476">
        <v>2014</v>
      </c>
      <c r="AH6" s="476"/>
      <c r="AI6" s="476">
        <v>2015</v>
      </c>
      <c r="AJ6" s="476"/>
      <c r="AK6" s="476">
        <v>2016</v>
      </c>
      <c r="AL6" s="476"/>
      <c r="AM6" s="476">
        <v>2017</v>
      </c>
      <c r="AN6" s="476"/>
      <c r="AO6" s="476" t="s">
        <v>838</v>
      </c>
      <c r="AP6" s="476"/>
      <c r="AQ6" s="476">
        <v>2019</v>
      </c>
      <c r="AR6" s="476"/>
      <c r="AS6" s="476">
        <v>2020</v>
      </c>
      <c r="AT6" s="476"/>
      <c r="AU6" s="476">
        <v>2021</v>
      </c>
      <c r="AV6" s="476"/>
    </row>
    <row r="7" spans="2:48" ht="14.25" customHeight="1">
      <c r="B7" s="538"/>
      <c r="C7" s="526" t="s">
        <v>438</v>
      </c>
      <c r="D7" s="541"/>
      <c r="E7" s="534"/>
      <c r="F7" s="534"/>
      <c r="G7" s="534"/>
      <c r="H7" s="534"/>
      <c r="I7" s="534"/>
      <c r="J7" s="534"/>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row>
    <row r="8" spans="2:48" ht="6" customHeight="1">
      <c r="B8" s="42"/>
      <c r="C8" s="42"/>
      <c r="D8" s="53"/>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row>
    <row r="9" spans="2:48" ht="10.5" customHeight="1">
      <c r="B9" s="42">
        <v>27</v>
      </c>
      <c r="C9" s="42"/>
      <c r="D9" s="122" t="s">
        <v>1150</v>
      </c>
      <c r="E9" s="75" t="s">
        <v>78</v>
      </c>
      <c r="G9" s="75" t="s">
        <v>78</v>
      </c>
      <c r="I9" s="75" t="s">
        <v>78</v>
      </c>
      <c r="K9" s="75" t="s">
        <v>78</v>
      </c>
      <c r="M9" s="75" t="s">
        <v>78</v>
      </c>
      <c r="O9" s="75" t="s">
        <v>78</v>
      </c>
      <c r="Q9" s="75" t="s">
        <v>78</v>
      </c>
      <c r="S9" s="75" t="s">
        <v>78</v>
      </c>
      <c r="U9" s="75">
        <v>2028.3434313899977</v>
      </c>
      <c r="V9" s="17"/>
      <c r="W9" s="75">
        <v>1981.1724368500002</v>
      </c>
      <c r="Y9" s="75">
        <v>2104.0385072084655</v>
      </c>
      <c r="Z9" s="78"/>
      <c r="AA9" s="75">
        <v>1985.3202345307363</v>
      </c>
      <c r="AB9" s="17"/>
      <c r="AC9" s="75">
        <v>2176.8926274142182</v>
      </c>
      <c r="AD9" s="17"/>
      <c r="AE9" s="75">
        <v>2518.4537985083489</v>
      </c>
      <c r="AF9" s="23"/>
      <c r="AG9" s="75">
        <v>2109.2834506128297</v>
      </c>
      <c r="AH9" s="17"/>
      <c r="AI9" s="75">
        <v>2185.9356865881241</v>
      </c>
      <c r="AJ9" s="17"/>
      <c r="AK9" s="75">
        <v>2285.9564662859611</v>
      </c>
      <c r="AL9" s="17"/>
      <c r="AM9" s="75">
        <v>2307.3743101161404</v>
      </c>
      <c r="AN9" s="17"/>
      <c r="AO9" s="292">
        <v>2462.6036442568766</v>
      </c>
      <c r="AP9" s="17"/>
      <c r="AQ9" s="75">
        <v>2677.2030201658467</v>
      </c>
      <c r="AR9" s="17"/>
      <c r="AS9" s="75">
        <v>3152.0301069476609</v>
      </c>
      <c r="AT9" s="17"/>
      <c r="AU9" s="75">
        <v>2970.6193290972901</v>
      </c>
      <c r="AV9" s="17"/>
    </row>
    <row r="10" spans="2:48" ht="10.5" customHeight="1">
      <c r="B10" s="42"/>
      <c r="C10" s="42"/>
      <c r="D10" s="145" t="s">
        <v>439</v>
      </c>
      <c r="E10" s="75"/>
      <c r="G10" s="75"/>
      <c r="I10" s="75"/>
      <c r="K10" s="75"/>
      <c r="M10" s="75"/>
      <c r="O10" s="75"/>
      <c r="Q10" s="75"/>
      <c r="S10" s="75"/>
      <c r="U10" s="75"/>
      <c r="V10" s="23"/>
      <c r="W10" s="75"/>
      <c r="Y10" s="75"/>
      <c r="Z10" s="78"/>
      <c r="AA10" s="75"/>
      <c r="AB10" s="23"/>
      <c r="AC10" s="75"/>
      <c r="AD10" s="23"/>
      <c r="AE10" s="75"/>
      <c r="AF10" s="23"/>
      <c r="AG10" s="75"/>
      <c r="AH10" s="23"/>
      <c r="AI10" s="75"/>
      <c r="AJ10" s="23"/>
      <c r="AK10" s="75"/>
      <c r="AL10" s="23"/>
      <c r="AM10" s="75"/>
      <c r="AN10" s="23"/>
      <c r="AO10" s="75"/>
      <c r="AP10" s="23"/>
      <c r="AR10" s="23"/>
      <c r="AT10" s="23"/>
      <c r="AV10" s="23"/>
    </row>
    <row r="11" spans="2:48" ht="10.5" customHeight="1">
      <c r="B11" s="42">
        <v>28</v>
      </c>
      <c r="C11" s="42"/>
      <c r="D11" s="16" t="s">
        <v>1149</v>
      </c>
      <c r="E11" s="75" t="s">
        <v>78</v>
      </c>
      <c r="G11" s="75" t="s">
        <v>78</v>
      </c>
      <c r="I11" s="75" t="s">
        <v>78</v>
      </c>
      <c r="K11" s="75" t="s">
        <v>78</v>
      </c>
      <c r="M11" s="75" t="s">
        <v>78</v>
      </c>
      <c r="O11" s="75" t="s">
        <v>78</v>
      </c>
      <c r="Q11" s="75" t="s">
        <v>78</v>
      </c>
      <c r="S11" s="75" t="s">
        <v>78</v>
      </c>
      <c r="U11" s="75">
        <v>75.041977639999999</v>
      </c>
      <c r="V11" s="17"/>
      <c r="W11" s="75">
        <v>33.509391199999996</v>
      </c>
      <c r="Y11" s="75">
        <v>85.528035040000006</v>
      </c>
      <c r="Z11" s="78"/>
      <c r="AA11" s="75">
        <v>76.795172249999993</v>
      </c>
      <c r="AB11" s="17"/>
      <c r="AC11" s="75">
        <v>85.512563199999988</v>
      </c>
      <c r="AD11" s="17"/>
      <c r="AE11" s="75">
        <v>56.585765914069846</v>
      </c>
      <c r="AF11" s="23"/>
      <c r="AG11" s="75">
        <v>85.683534399999999</v>
      </c>
      <c r="AH11" s="17"/>
      <c r="AI11" s="75">
        <v>55.884148600000003</v>
      </c>
      <c r="AJ11" s="17"/>
      <c r="AK11" s="75">
        <v>67.017333404411602</v>
      </c>
      <c r="AL11" s="17"/>
      <c r="AM11" s="75">
        <v>83.301945164223355</v>
      </c>
      <c r="AN11" s="17"/>
      <c r="AO11" s="292">
        <v>91.95247839999999</v>
      </c>
      <c r="AP11" s="17"/>
      <c r="AQ11" s="75">
        <v>70.819763999999992</v>
      </c>
      <c r="AR11" s="17"/>
      <c r="AS11" s="75">
        <v>60.052496000000005</v>
      </c>
      <c r="AT11" s="17"/>
      <c r="AU11" s="75">
        <v>72.273032799999996</v>
      </c>
      <c r="AV11" s="17"/>
    </row>
    <row r="12" spans="2:48" ht="10.5" customHeight="1">
      <c r="B12" s="42">
        <v>29</v>
      </c>
      <c r="C12" s="42"/>
      <c r="D12" s="16" t="s">
        <v>1154</v>
      </c>
      <c r="E12" s="75" t="s">
        <v>78</v>
      </c>
      <c r="G12" s="75" t="s">
        <v>78</v>
      </c>
      <c r="I12" s="75" t="s">
        <v>78</v>
      </c>
      <c r="K12" s="75" t="s">
        <v>78</v>
      </c>
      <c r="M12" s="75" t="s">
        <v>78</v>
      </c>
      <c r="O12" s="75" t="s">
        <v>78</v>
      </c>
      <c r="Q12" s="75" t="s">
        <v>78</v>
      </c>
      <c r="S12" s="75" t="s">
        <v>78</v>
      </c>
      <c r="U12" s="75">
        <v>4482.8795293400008</v>
      </c>
      <c r="V12" s="17"/>
      <c r="W12" s="75">
        <v>3548.7863965339993</v>
      </c>
      <c r="Y12" s="75">
        <v>4771.6096320917677</v>
      </c>
      <c r="Z12" s="78"/>
      <c r="AA12" s="75">
        <v>4743.5464632790008</v>
      </c>
      <c r="AB12" s="17"/>
      <c r="AC12" s="75">
        <v>4804.1211752268828</v>
      </c>
      <c r="AD12" s="17"/>
      <c r="AE12" s="75">
        <v>5069.1474137903297</v>
      </c>
      <c r="AF12" s="23"/>
      <c r="AG12" s="75">
        <v>5641.66321463244</v>
      </c>
      <c r="AH12" s="17"/>
      <c r="AI12" s="75">
        <v>4440.9549403270021</v>
      </c>
      <c r="AJ12" s="17"/>
      <c r="AK12" s="75">
        <v>4866.1415505250015</v>
      </c>
      <c r="AL12" s="17"/>
      <c r="AM12" s="75">
        <v>5110.9832162067341</v>
      </c>
      <c r="AN12" s="17"/>
      <c r="AO12" s="292">
        <v>4619.5163946559596</v>
      </c>
      <c r="AP12" s="78"/>
      <c r="AQ12" s="75">
        <v>4700.0740181478923</v>
      </c>
      <c r="AR12" s="78"/>
      <c r="AS12" s="75">
        <v>5019.7034172181084</v>
      </c>
      <c r="AT12" s="17"/>
      <c r="AU12" s="75">
        <v>4879.3643047943897</v>
      </c>
      <c r="AV12" s="17"/>
    </row>
    <row r="13" spans="2:48" ht="10.5" customHeight="1">
      <c r="B13" s="42">
        <v>30</v>
      </c>
      <c r="C13" s="42"/>
      <c r="D13" s="16" t="s">
        <v>1148</v>
      </c>
      <c r="E13" s="75" t="s">
        <v>78</v>
      </c>
      <c r="G13" s="75" t="s">
        <v>78</v>
      </c>
      <c r="I13" s="75" t="s">
        <v>78</v>
      </c>
      <c r="K13" s="75" t="s">
        <v>78</v>
      </c>
      <c r="M13" s="75" t="s">
        <v>78</v>
      </c>
      <c r="O13" s="75" t="s">
        <v>78</v>
      </c>
      <c r="Q13" s="75" t="s">
        <v>78</v>
      </c>
      <c r="S13" s="75" t="s">
        <v>78</v>
      </c>
      <c r="U13" s="75">
        <v>249.25969916999992</v>
      </c>
      <c r="V13" s="17"/>
      <c r="W13" s="75">
        <v>264.9166017500001</v>
      </c>
      <c r="Y13" s="75">
        <v>265.07502721589725</v>
      </c>
      <c r="Z13" s="78"/>
      <c r="AA13" s="75">
        <v>228.98579049499997</v>
      </c>
      <c r="AB13" s="17"/>
      <c r="AC13" s="75">
        <v>230.03018234000001</v>
      </c>
      <c r="AD13" s="17"/>
      <c r="AE13" s="75">
        <v>243.51032830775486</v>
      </c>
      <c r="AF13" s="23"/>
      <c r="AG13" s="75">
        <v>259.3674514558291</v>
      </c>
      <c r="AH13" s="17"/>
      <c r="AI13" s="75">
        <v>248.59235540805577</v>
      </c>
      <c r="AJ13" s="17"/>
      <c r="AK13" s="75">
        <v>464.5082152350559</v>
      </c>
      <c r="AL13" s="17"/>
      <c r="AM13" s="75">
        <v>445.37689003926994</v>
      </c>
      <c r="AN13" s="17"/>
      <c r="AO13" s="292">
        <v>514.85143658675906</v>
      </c>
      <c r="AP13" s="17"/>
      <c r="AQ13" s="75">
        <v>492.90647408293091</v>
      </c>
      <c r="AR13" s="17"/>
      <c r="AS13" s="75">
        <v>530.53137638277087</v>
      </c>
      <c r="AT13" s="17"/>
      <c r="AU13" s="75">
        <v>582.47359892199995</v>
      </c>
      <c r="AV13" s="17"/>
    </row>
    <row r="14" spans="2:48" ht="10.5" customHeight="1">
      <c r="B14" s="42">
        <v>31</v>
      </c>
      <c r="C14" s="42"/>
      <c r="D14" s="16" t="s">
        <v>1151</v>
      </c>
      <c r="E14" s="75" t="s">
        <v>78</v>
      </c>
      <c r="G14" s="75" t="s">
        <v>78</v>
      </c>
      <c r="I14" s="75" t="s">
        <v>78</v>
      </c>
      <c r="K14" s="75" t="s">
        <v>78</v>
      </c>
      <c r="M14" s="75" t="s">
        <v>78</v>
      </c>
      <c r="O14" s="75" t="s">
        <v>78</v>
      </c>
      <c r="Q14" s="75" t="s">
        <v>78</v>
      </c>
      <c r="S14" s="75" t="s">
        <v>78</v>
      </c>
      <c r="U14" s="75">
        <v>0.86936248999999999</v>
      </c>
      <c r="V14" s="17"/>
      <c r="W14" s="75">
        <v>0.86712959999999994</v>
      </c>
      <c r="Y14" s="75">
        <v>0.88820034000000003</v>
      </c>
      <c r="Z14" s="78"/>
      <c r="AA14" s="75">
        <v>0.27097779</v>
      </c>
      <c r="AB14" s="17"/>
      <c r="AC14" s="75">
        <v>7.4936200000000003E-3</v>
      </c>
      <c r="AD14" s="17"/>
      <c r="AE14" s="75">
        <v>0.24244895994181956</v>
      </c>
      <c r="AF14" s="23"/>
      <c r="AG14" s="75">
        <v>0.31425001086586291</v>
      </c>
      <c r="AH14" s="17"/>
      <c r="AI14" s="75">
        <v>0.33174028</v>
      </c>
      <c r="AJ14" s="17"/>
      <c r="AK14" s="75">
        <v>8.4714599318484435E-2</v>
      </c>
      <c r="AL14" s="17"/>
      <c r="AM14" s="75">
        <v>2.9891047341069225E-2</v>
      </c>
      <c r="AN14" s="17"/>
      <c r="AO14" s="292">
        <v>5.6503338072416684E-2</v>
      </c>
      <c r="AP14" s="17"/>
      <c r="AQ14" s="75">
        <v>8.2982071313493763E-2</v>
      </c>
      <c r="AR14" s="17"/>
      <c r="AS14" s="75">
        <v>6.5533914257420084E-2</v>
      </c>
      <c r="AT14" s="17"/>
      <c r="AU14" s="75">
        <v>0.91790894099999998</v>
      </c>
      <c r="AV14" s="17"/>
    </row>
    <row r="15" spans="2:48" ht="10.5" customHeight="1">
      <c r="B15" s="42"/>
      <c r="C15" s="42"/>
      <c r="D15" s="53" t="s">
        <v>440</v>
      </c>
      <c r="E15" s="75"/>
      <c r="G15" s="75"/>
      <c r="I15" s="75"/>
      <c r="K15" s="75"/>
      <c r="M15" s="75"/>
      <c r="O15" s="75"/>
      <c r="Q15" s="75"/>
      <c r="S15" s="75"/>
      <c r="U15" s="75"/>
      <c r="V15" s="17"/>
      <c r="W15" s="75"/>
      <c r="Y15" s="75"/>
      <c r="Z15" s="78"/>
      <c r="AA15" s="75"/>
      <c r="AB15" s="17"/>
      <c r="AC15" s="75"/>
      <c r="AD15" s="17"/>
      <c r="AE15" s="75"/>
      <c r="AF15" s="23"/>
      <c r="AG15" s="75"/>
      <c r="AH15" s="17"/>
      <c r="AI15" s="75"/>
      <c r="AJ15" s="17"/>
      <c r="AK15" s="75"/>
      <c r="AL15" s="17"/>
      <c r="AM15" s="75"/>
      <c r="AN15" s="17"/>
      <c r="AO15" s="75"/>
      <c r="AP15" s="17"/>
      <c r="AR15" s="17"/>
      <c r="AT15" s="17"/>
      <c r="AV15" s="17"/>
    </row>
    <row r="16" spans="2:48" ht="10.5" customHeight="1">
      <c r="E16" s="75"/>
      <c r="G16" s="75"/>
      <c r="I16" s="75"/>
      <c r="K16" s="75"/>
      <c r="M16" s="75"/>
      <c r="O16" s="75"/>
      <c r="Q16" s="75"/>
      <c r="S16" s="75"/>
      <c r="V16" s="17"/>
      <c r="W16" s="75"/>
      <c r="Y16" s="75"/>
      <c r="Z16" s="78"/>
      <c r="AA16" s="75"/>
      <c r="AB16" s="17"/>
      <c r="AC16" s="75"/>
      <c r="AD16" s="17"/>
      <c r="AE16" s="75"/>
      <c r="AF16" s="23"/>
      <c r="AG16" s="75"/>
      <c r="AH16" s="17"/>
      <c r="AI16" s="75"/>
      <c r="AJ16" s="17"/>
      <c r="AK16" s="75"/>
      <c r="AL16" s="17"/>
      <c r="AM16" s="75"/>
      <c r="AN16" s="17"/>
      <c r="AO16" s="75"/>
      <c r="AP16" s="17"/>
      <c r="AR16" s="17"/>
      <c r="AT16" s="17"/>
      <c r="AV16" s="17"/>
    </row>
    <row r="17" spans="2:48" ht="10.5" customHeight="1">
      <c r="B17" s="42">
        <v>32</v>
      </c>
      <c r="C17" s="42"/>
      <c r="D17" s="382" t="s">
        <v>1444</v>
      </c>
      <c r="E17" s="75" t="s">
        <v>78</v>
      </c>
      <c r="G17" s="75" t="s">
        <v>78</v>
      </c>
      <c r="I17" s="75" t="s">
        <v>78</v>
      </c>
      <c r="K17" s="75" t="s">
        <v>78</v>
      </c>
      <c r="M17" s="75" t="s">
        <v>78</v>
      </c>
      <c r="O17" s="75" t="s">
        <v>78</v>
      </c>
      <c r="Q17" s="75" t="s">
        <v>78</v>
      </c>
      <c r="S17" s="75" t="s">
        <v>78</v>
      </c>
      <c r="U17" s="75">
        <v>3667.1831806400023</v>
      </c>
      <c r="V17" s="17"/>
      <c r="W17" s="75">
        <v>3614.1249360984252</v>
      </c>
      <c r="Y17" s="75">
        <v>3473.8025227231174</v>
      </c>
      <c r="Z17" s="78"/>
      <c r="AA17" s="75">
        <v>3446.7256412922643</v>
      </c>
      <c r="AB17" s="17"/>
      <c r="AC17" s="75">
        <v>3576.6370028075207</v>
      </c>
      <c r="AD17" s="17"/>
      <c r="AE17" s="75">
        <v>2677.8672096172199</v>
      </c>
      <c r="AF17" s="23"/>
      <c r="AG17" s="75">
        <v>2785.0114759426447</v>
      </c>
      <c r="AH17" s="17"/>
      <c r="AI17" s="75">
        <v>2476.8782955895981</v>
      </c>
      <c r="AJ17" s="17"/>
      <c r="AK17" s="75">
        <v>2913.4011051476905</v>
      </c>
      <c r="AL17" s="17"/>
      <c r="AM17" s="75">
        <v>2733.3757170053132</v>
      </c>
      <c r="AN17" s="17"/>
      <c r="AO17" s="292">
        <v>3425.6925291256466</v>
      </c>
      <c r="AP17" s="17"/>
      <c r="AQ17" s="75">
        <v>3142.4090240961568</v>
      </c>
      <c r="AR17" s="17"/>
      <c r="AS17" s="75">
        <v>2703.6230659196945</v>
      </c>
      <c r="AT17" s="17"/>
      <c r="AU17" s="75">
        <v>2701.5431714125798</v>
      </c>
      <c r="AV17" s="17"/>
    </row>
    <row r="18" spans="2:48" ht="10.5" customHeight="1">
      <c r="B18" s="42"/>
      <c r="C18" s="42"/>
      <c r="D18" s="53" t="s">
        <v>1445</v>
      </c>
      <c r="E18" s="75"/>
      <c r="G18" s="75"/>
      <c r="I18" s="75"/>
      <c r="K18" s="75"/>
      <c r="M18" s="75"/>
      <c r="O18" s="75"/>
      <c r="Q18" s="75"/>
      <c r="S18" s="75"/>
      <c r="U18" s="75"/>
      <c r="V18" s="17"/>
      <c r="W18" s="75"/>
      <c r="Y18" s="75"/>
      <c r="Z18" s="78"/>
      <c r="AA18" s="75"/>
      <c r="AB18" s="17"/>
      <c r="AC18" s="75"/>
      <c r="AD18" s="17"/>
      <c r="AE18" s="75"/>
      <c r="AF18" s="23"/>
      <c r="AG18" s="75"/>
      <c r="AH18" s="17"/>
      <c r="AI18" s="75"/>
      <c r="AJ18" s="17"/>
      <c r="AK18" s="75"/>
      <c r="AL18" s="17"/>
      <c r="AM18" s="75"/>
      <c r="AN18" s="17"/>
      <c r="AO18" s="75"/>
      <c r="AP18" s="17"/>
      <c r="AR18" s="17"/>
      <c r="AT18" s="17"/>
      <c r="AV18" s="17"/>
    </row>
    <row r="19" spans="2:48" ht="10.5" customHeight="1">
      <c r="B19" s="42">
        <v>33</v>
      </c>
      <c r="C19" s="42"/>
      <c r="D19" s="16" t="s">
        <v>1152</v>
      </c>
      <c r="E19" s="75" t="s">
        <v>78</v>
      </c>
      <c r="G19" s="75" t="s">
        <v>78</v>
      </c>
      <c r="I19" s="75" t="s">
        <v>78</v>
      </c>
      <c r="K19" s="75" t="s">
        <v>78</v>
      </c>
      <c r="M19" s="75" t="s">
        <v>78</v>
      </c>
      <c r="O19" s="75" t="s">
        <v>78</v>
      </c>
      <c r="Q19" s="75" t="s">
        <v>78</v>
      </c>
      <c r="S19" s="75" t="s">
        <v>78</v>
      </c>
      <c r="U19" s="75">
        <v>405.16110003000006</v>
      </c>
      <c r="V19" s="75"/>
      <c r="W19" s="75">
        <v>330.16710789000007</v>
      </c>
      <c r="Y19" s="75">
        <v>370.92246179000017</v>
      </c>
      <c r="Z19" s="78"/>
      <c r="AA19" s="75">
        <v>374.43996191000008</v>
      </c>
      <c r="AB19" s="75"/>
      <c r="AC19" s="75">
        <v>354.88105348000005</v>
      </c>
      <c r="AD19" s="75"/>
      <c r="AE19" s="75">
        <v>335.24176036218421</v>
      </c>
      <c r="AF19" s="23"/>
      <c r="AG19" s="75">
        <v>307.5618768656272</v>
      </c>
      <c r="AH19" s="75"/>
      <c r="AI19" s="75">
        <v>360.70649750000024</v>
      </c>
      <c r="AJ19" s="75"/>
      <c r="AK19" s="75">
        <v>357.46056843839364</v>
      </c>
      <c r="AL19" s="75"/>
      <c r="AM19" s="75">
        <v>344.96103706336248</v>
      </c>
      <c r="AN19" s="75"/>
      <c r="AO19" s="292">
        <v>356.34074610817368</v>
      </c>
      <c r="AP19" s="75"/>
      <c r="AQ19" s="75">
        <v>345.13023819481043</v>
      </c>
      <c r="AR19" s="75"/>
      <c r="AS19" s="75">
        <v>400.31264583996267</v>
      </c>
      <c r="AT19" s="75"/>
      <c r="AU19" s="75">
        <v>410.26059967566601</v>
      </c>
      <c r="AV19" s="75"/>
    </row>
    <row r="20" spans="2:48" ht="10.5" customHeight="1">
      <c r="B20" s="42"/>
      <c r="C20" s="42"/>
      <c r="D20" s="53" t="s">
        <v>441</v>
      </c>
      <c r="E20" s="75"/>
      <c r="G20" s="75"/>
      <c r="I20" s="75"/>
      <c r="K20" s="75"/>
      <c r="M20" s="75"/>
      <c r="O20" s="75"/>
      <c r="Q20" s="75"/>
      <c r="S20" s="75"/>
      <c r="U20" s="75"/>
      <c r="V20" s="17"/>
      <c r="W20" s="75"/>
      <c r="Y20" s="75"/>
      <c r="Z20" s="78"/>
      <c r="AA20" s="75"/>
      <c r="AB20" s="17"/>
      <c r="AC20" s="75"/>
      <c r="AD20" s="17"/>
      <c r="AE20" s="75"/>
      <c r="AF20" s="23"/>
      <c r="AG20" s="75"/>
      <c r="AH20" s="17"/>
      <c r="AI20" s="75"/>
      <c r="AJ20" s="17"/>
      <c r="AK20" s="75"/>
      <c r="AL20" s="17"/>
      <c r="AM20" s="75"/>
      <c r="AN20" s="17"/>
      <c r="AO20" s="75"/>
      <c r="AP20" s="17"/>
      <c r="AR20" s="17"/>
      <c r="AT20" s="17"/>
      <c r="AV20" s="17"/>
    </row>
    <row r="21" spans="2:48" ht="10.5" customHeight="1">
      <c r="B21" s="42">
        <v>34</v>
      </c>
      <c r="C21" s="42"/>
      <c r="D21" s="16" t="s">
        <v>1153</v>
      </c>
      <c r="E21" s="75" t="s">
        <v>78</v>
      </c>
      <c r="G21" s="75" t="s">
        <v>78</v>
      </c>
      <c r="I21" s="75" t="s">
        <v>78</v>
      </c>
      <c r="K21" s="75" t="s">
        <v>78</v>
      </c>
      <c r="M21" s="75" t="s">
        <v>78</v>
      </c>
      <c r="O21" s="75" t="s">
        <v>78</v>
      </c>
      <c r="Q21" s="75" t="s">
        <v>78</v>
      </c>
      <c r="S21" s="75" t="s">
        <v>78</v>
      </c>
      <c r="U21" s="75">
        <v>414.68064847633303</v>
      </c>
      <c r="V21" s="17"/>
      <c r="W21" s="75">
        <v>414.31714879499987</v>
      </c>
      <c r="Y21" s="75">
        <v>434.81733115000003</v>
      </c>
      <c r="Z21" s="78"/>
      <c r="AA21" s="75">
        <v>813.45538161799982</v>
      </c>
      <c r="AB21" s="17"/>
      <c r="AC21" s="75">
        <v>1014.71921461</v>
      </c>
      <c r="AD21" s="17"/>
      <c r="AE21" s="75">
        <v>889.8318336433224</v>
      </c>
      <c r="AF21" s="23"/>
      <c r="AG21" s="75">
        <v>840.78270243424436</v>
      </c>
      <c r="AH21" s="17"/>
      <c r="AI21" s="75">
        <v>933.45389141716589</v>
      </c>
      <c r="AJ21" s="17"/>
      <c r="AK21" s="75">
        <v>857.18248162525174</v>
      </c>
      <c r="AL21" s="17"/>
      <c r="AM21" s="75">
        <v>745.77531256573832</v>
      </c>
      <c r="AN21" s="17"/>
      <c r="AO21" s="292">
        <v>1142.6465170822642</v>
      </c>
      <c r="AP21" s="17"/>
      <c r="AQ21" s="75">
        <v>829.57184198501875</v>
      </c>
      <c r="AR21" s="17"/>
      <c r="AS21" s="75">
        <v>686.33577992543508</v>
      </c>
      <c r="AT21" s="17"/>
      <c r="AU21" s="75">
        <v>1100.8540512080001</v>
      </c>
      <c r="AV21" s="17"/>
    </row>
    <row r="22" spans="2:48" ht="21" customHeight="1">
      <c r="B22" s="42"/>
      <c r="C22" s="42"/>
      <c r="D22" s="381" t="s">
        <v>1146</v>
      </c>
      <c r="E22" s="75"/>
      <c r="G22" s="75"/>
      <c r="I22" s="75"/>
      <c r="K22" s="75"/>
      <c r="M22" s="75"/>
      <c r="O22" s="75"/>
      <c r="Q22" s="75"/>
      <c r="S22" s="75"/>
      <c r="U22" s="75"/>
      <c r="V22" s="17"/>
      <c r="W22" s="75"/>
      <c r="Y22" s="75"/>
      <c r="Z22" s="78"/>
      <c r="AA22" s="75"/>
      <c r="AB22" s="17"/>
      <c r="AC22" s="75"/>
      <c r="AD22" s="17"/>
      <c r="AE22" s="75"/>
      <c r="AF22" s="23"/>
      <c r="AG22" s="75"/>
      <c r="AH22" s="17"/>
      <c r="AI22" s="75"/>
      <c r="AJ22" s="17"/>
      <c r="AK22" s="75"/>
      <c r="AL22" s="17"/>
      <c r="AM22" s="75"/>
      <c r="AN22" s="17"/>
      <c r="AO22" s="75"/>
      <c r="AP22" s="17"/>
      <c r="AR22" s="17"/>
      <c r="AT22" s="17"/>
      <c r="AV22" s="17"/>
    </row>
    <row r="23" spans="2:48" ht="10.5" customHeight="1">
      <c r="B23" s="42">
        <v>35</v>
      </c>
      <c r="C23" s="42"/>
      <c r="D23" s="16" t="s">
        <v>1156</v>
      </c>
      <c r="E23" s="75" t="s">
        <v>78</v>
      </c>
      <c r="G23" s="75" t="s">
        <v>78</v>
      </c>
      <c r="I23" s="75" t="s">
        <v>78</v>
      </c>
      <c r="K23" s="75" t="s">
        <v>78</v>
      </c>
      <c r="M23" s="75" t="s">
        <v>78</v>
      </c>
      <c r="O23" s="75" t="s">
        <v>78</v>
      </c>
      <c r="Q23" s="75" t="s">
        <v>78</v>
      </c>
      <c r="S23" s="75" t="s">
        <v>78</v>
      </c>
      <c r="U23" s="75">
        <v>237.60641527500005</v>
      </c>
      <c r="V23" s="17"/>
      <c r="W23" s="75">
        <v>267.3261263899999</v>
      </c>
      <c r="Y23" s="75">
        <v>202.21335956433504</v>
      </c>
      <c r="Z23" s="78"/>
      <c r="AA23" s="75">
        <v>176.13340030000003</v>
      </c>
      <c r="AB23" s="17"/>
      <c r="AC23" s="75">
        <v>189.5401973699999</v>
      </c>
      <c r="AD23" s="17"/>
      <c r="AE23" s="75">
        <v>158.23648900295427</v>
      </c>
      <c r="AF23" s="23"/>
      <c r="AG23" s="75">
        <v>125.90424674337842</v>
      </c>
      <c r="AH23" s="17"/>
      <c r="AI23" s="75">
        <v>114.78409210400156</v>
      </c>
      <c r="AJ23" s="17"/>
      <c r="AK23" s="75">
        <v>142.22458576758945</v>
      </c>
      <c r="AL23" s="17"/>
      <c r="AM23" s="75">
        <v>139.46369386796718</v>
      </c>
      <c r="AN23" s="17"/>
      <c r="AO23" s="292">
        <v>105.31503200926559</v>
      </c>
      <c r="AP23" s="17"/>
      <c r="AQ23" s="75">
        <v>64.595306446828658</v>
      </c>
      <c r="AR23" s="17"/>
      <c r="AS23" s="75">
        <v>109.60516356756608</v>
      </c>
      <c r="AT23" s="17"/>
      <c r="AU23" s="75">
        <v>136.69103249938701</v>
      </c>
      <c r="AV23" s="17"/>
    </row>
    <row r="24" spans="2:48" ht="10.5" customHeight="1">
      <c r="B24" s="42">
        <v>36</v>
      </c>
      <c r="C24" s="42"/>
      <c r="D24" s="16" t="s">
        <v>1155</v>
      </c>
      <c r="E24" s="75" t="s">
        <v>78</v>
      </c>
      <c r="G24" s="75" t="s">
        <v>78</v>
      </c>
      <c r="I24" s="75" t="s">
        <v>78</v>
      </c>
      <c r="K24" s="75" t="s">
        <v>78</v>
      </c>
      <c r="M24" s="75" t="s">
        <v>78</v>
      </c>
      <c r="O24" s="75" t="s">
        <v>78</v>
      </c>
      <c r="Q24" s="75" t="s">
        <v>78</v>
      </c>
      <c r="S24" s="75" t="s">
        <v>78</v>
      </c>
      <c r="U24" s="75">
        <v>4015.6935716500002</v>
      </c>
      <c r="V24" s="17"/>
      <c r="W24" s="75">
        <v>2911.8405698819952</v>
      </c>
      <c r="Y24" s="75">
        <v>4029.8355074059964</v>
      </c>
      <c r="Z24" s="78"/>
      <c r="AA24" s="75">
        <v>3562.3982603379982</v>
      </c>
      <c r="AB24" s="17"/>
      <c r="AC24" s="75">
        <v>2850.6102285300035</v>
      </c>
      <c r="AD24" s="17"/>
      <c r="AE24" s="75">
        <v>3126.8442619511629</v>
      </c>
      <c r="AF24" s="23"/>
      <c r="AG24" s="75">
        <v>2602.8745438478545</v>
      </c>
      <c r="AH24" s="17"/>
      <c r="AI24" s="75">
        <v>3118.3528736488365</v>
      </c>
      <c r="AJ24" s="17"/>
      <c r="AK24" s="75">
        <v>3247.1724144529089</v>
      </c>
      <c r="AL24" s="17"/>
      <c r="AM24" s="75">
        <v>3316.5028795114576</v>
      </c>
      <c r="AN24" s="17"/>
      <c r="AO24" s="292">
        <v>3233.1950087555474</v>
      </c>
      <c r="AP24" s="17"/>
      <c r="AQ24" s="75">
        <v>2870.8754496896522</v>
      </c>
      <c r="AR24" s="17"/>
      <c r="AS24" s="75">
        <v>2956.6868158627012</v>
      </c>
      <c r="AT24" s="17"/>
      <c r="AU24" s="75">
        <v>3400.5777856700001</v>
      </c>
      <c r="AV24" s="17"/>
    </row>
    <row r="25" spans="2:48" ht="10.5" customHeight="1">
      <c r="B25" s="42"/>
      <c r="C25" s="42"/>
      <c r="D25" s="53" t="s">
        <v>442</v>
      </c>
      <c r="E25" s="75"/>
      <c r="G25" s="75"/>
      <c r="I25" s="75"/>
      <c r="K25" s="75"/>
      <c r="M25" s="75"/>
      <c r="O25" s="75"/>
      <c r="Q25" s="75"/>
      <c r="S25" s="75"/>
      <c r="U25" s="75"/>
      <c r="V25" s="17"/>
      <c r="W25" s="75"/>
      <c r="Y25" s="75"/>
      <c r="Z25" s="23"/>
      <c r="AA25" s="75"/>
      <c r="AB25" s="17"/>
      <c r="AC25" s="75"/>
      <c r="AD25" s="17"/>
      <c r="AE25" s="75"/>
      <c r="AF25" s="23"/>
      <c r="AG25" s="75"/>
      <c r="AH25" s="17"/>
      <c r="AI25" s="75"/>
      <c r="AJ25" s="17"/>
      <c r="AK25" s="75"/>
      <c r="AL25" s="17"/>
      <c r="AM25" s="75"/>
      <c r="AN25" s="17"/>
      <c r="AO25" s="75"/>
      <c r="AP25" s="17"/>
      <c r="AR25" s="17"/>
      <c r="AT25" s="17"/>
      <c r="AV25" s="17"/>
    </row>
    <row r="26" spans="2:48" ht="10.5" customHeight="1">
      <c r="B26" s="42"/>
      <c r="C26" s="42"/>
      <c r="D26" s="16"/>
      <c r="E26" s="75"/>
      <c r="G26" s="75"/>
      <c r="I26" s="75"/>
      <c r="K26" s="75"/>
      <c r="M26" s="75"/>
      <c r="O26" s="75"/>
      <c r="Q26" s="75"/>
      <c r="S26" s="75"/>
      <c r="U26" s="75"/>
      <c r="V26" s="17"/>
      <c r="W26" s="75"/>
      <c r="Y26" s="75"/>
      <c r="Z26" s="23"/>
      <c r="AA26" s="75"/>
      <c r="AB26" s="17"/>
      <c r="AC26" s="75"/>
      <c r="AD26" s="17"/>
      <c r="AE26" s="75"/>
      <c r="AF26" s="23"/>
      <c r="AG26" s="75"/>
      <c r="AH26" s="17"/>
      <c r="AI26" s="75"/>
      <c r="AJ26" s="17"/>
      <c r="AK26" s="75"/>
      <c r="AL26" s="17"/>
      <c r="AM26" s="75"/>
      <c r="AN26" s="17"/>
      <c r="AO26" s="75"/>
      <c r="AP26" s="17"/>
      <c r="AR26" s="17"/>
      <c r="AT26" s="17"/>
      <c r="AV26" s="17"/>
    </row>
    <row r="27" spans="2:48" ht="10.5" customHeight="1">
      <c r="B27" s="42">
        <v>37</v>
      </c>
      <c r="C27" s="42"/>
      <c r="D27" s="16" t="s">
        <v>1443</v>
      </c>
      <c r="E27" s="75" t="s">
        <v>78</v>
      </c>
      <c r="G27" s="75" t="s">
        <v>78</v>
      </c>
      <c r="I27" s="75" t="s">
        <v>78</v>
      </c>
      <c r="K27" s="75" t="s">
        <v>78</v>
      </c>
      <c r="M27" s="75" t="s">
        <v>78</v>
      </c>
      <c r="O27" s="75" t="s">
        <v>78</v>
      </c>
      <c r="Q27" s="75" t="s">
        <v>78</v>
      </c>
      <c r="S27" s="75" t="s">
        <v>78</v>
      </c>
      <c r="U27" s="75">
        <v>49.752472999999988</v>
      </c>
      <c r="V27" s="17"/>
      <c r="W27" s="75">
        <v>51.07674188999998</v>
      </c>
      <c r="Y27" s="75">
        <v>44.31703129000001</v>
      </c>
      <c r="Z27" s="23"/>
      <c r="AA27" s="75">
        <v>44.475077760000019</v>
      </c>
      <c r="AB27" s="17"/>
      <c r="AC27" s="75">
        <v>48.140410770000017</v>
      </c>
      <c r="AD27" s="17"/>
      <c r="AE27" s="75">
        <v>34.436968224387229</v>
      </c>
      <c r="AF27" s="23"/>
      <c r="AG27" s="75">
        <v>35.811386865635271</v>
      </c>
      <c r="AH27" s="17"/>
      <c r="AI27" s="75">
        <v>37.465202547000054</v>
      </c>
      <c r="AJ27" s="17"/>
      <c r="AK27" s="75">
        <v>30.054887373557786</v>
      </c>
      <c r="AL27" s="17"/>
      <c r="AM27" s="75">
        <v>31.124008830698369</v>
      </c>
      <c r="AN27" s="17"/>
      <c r="AO27" s="292">
        <v>30.050623753567773</v>
      </c>
      <c r="AP27" s="17"/>
      <c r="AQ27" s="75">
        <v>7.9316439731779518</v>
      </c>
      <c r="AR27" s="17"/>
      <c r="AS27" s="75">
        <v>11.677234420956703</v>
      </c>
      <c r="AT27" s="17"/>
      <c r="AU27" s="75">
        <v>44.418416112999999</v>
      </c>
      <c r="AV27" s="17"/>
    </row>
    <row r="28" spans="2:48" ht="10.5" customHeight="1">
      <c r="B28" s="42">
        <v>38</v>
      </c>
      <c r="C28" s="42"/>
      <c r="D28" s="16" t="s">
        <v>839</v>
      </c>
      <c r="E28" s="75" t="s">
        <v>78</v>
      </c>
      <c r="G28" s="75" t="s">
        <v>78</v>
      </c>
      <c r="I28" s="75" t="s">
        <v>78</v>
      </c>
      <c r="K28" s="75" t="s">
        <v>78</v>
      </c>
      <c r="M28" s="75" t="s">
        <v>78</v>
      </c>
      <c r="O28" s="75" t="s">
        <v>78</v>
      </c>
      <c r="Q28" s="75" t="s">
        <v>78</v>
      </c>
      <c r="S28" s="75" t="s">
        <v>78</v>
      </c>
      <c r="U28" s="75">
        <v>392.7980139340001</v>
      </c>
      <c r="V28" s="17"/>
      <c r="W28" s="75">
        <v>279.79634497000023</v>
      </c>
      <c r="Y28" s="75">
        <v>334.11906119176797</v>
      </c>
      <c r="Z28" s="23"/>
      <c r="AA28" s="75">
        <v>396.9496684400001</v>
      </c>
      <c r="AB28" s="17"/>
      <c r="AC28" s="75">
        <v>544.11711922487677</v>
      </c>
      <c r="AD28" s="17"/>
      <c r="AE28" s="75">
        <v>389.45236203810316</v>
      </c>
      <c r="AF28" s="23"/>
      <c r="AG28" s="75">
        <v>364.26007451032433</v>
      </c>
      <c r="AH28" s="17"/>
      <c r="AI28" s="75">
        <v>482.94160153749488</v>
      </c>
      <c r="AJ28" s="23"/>
      <c r="AK28" s="75">
        <v>489.94851279728533</v>
      </c>
      <c r="AL28" s="17"/>
      <c r="AM28" s="75">
        <v>867.13063424115933</v>
      </c>
      <c r="AN28" s="17"/>
      <c r="AO28" s="292">
        <v>457.78757931659084</v>
      </c>
      <c r="AP28" s="78"/>
      <c r="AQ28" s="75">
        <v>423.4747802042379</v>
      </c>
      <c r="AR28" s="17"/>
      <c r="AS28" s="75">
        <v>393.79510643789916</v>
      </c>
      <c r="AT28" s="17"/>
      <c r="AU28" s="75">
        <v>487.12418381499998</v>
      </c>
      <c r="AV28" s="17"/>
    </row>
    <row r="29" spans="2:48" ht="10.5" customHeight="1">
      <c r="B29" s="42">
        <v>39</v>
      </c>
      <c r="C29" s="42"/>
      <c r="D29" s="16" t="s">
        <v>840</v>
      </c>
      <c r="E29" s="75" t="s">
        <v>78</v>
      </c>
      <c r="G29" s="75" t="s">
        <v>78</v>
      </c>
      <c r="I29" s="75" t="s">
        <v>78</v>
      </c>
      <c r="K29" s="75" t="s">
        <v>78</v>
      </c>
      <c r="M29" s="75" t="s">
        <v>78</v>
      </c>
      <c r="O29" s="75" t="s">
        <v>78</v>
      </c>
      <c r="Q29" s="75" t="s">
        <v>78</v>
      </c>
      <c r="S29" s="75" t="s">
        <v>78</v>
      </c>
      <c r="U29" s="75">
        <v>60.99488481999996</v>
      </c>
      <c r="V29" s="17"/>
      <c r="W29" s="75">
        <v>52.208321510000012</v>
      </c>
      <c r="Y29" s="75">
        <v>24.910144576999983</v>
      </c>
      <c r="Z29" s="23"/>
      <c r="AA29" s="75">
        <v>29.045813809999999</v>
      </c>
      <c r="AB29" s="17"/>
      <c r="AC29" s="75">
        <v>99.526840460000003</v>
      </c>
      <c r="AD29" s="17"/>
      <c r="AE29" s="75">
        <v>21.082991647086896</v>
      </c>
      <c r="AF29" s="23"/>
      <c r="AG29" s="75">
        <v>23.679893948657497</v>
      </c>
      <c r="AH29" s="17"/>
      <c r="AI29" s="75">
        <v>26.595061669999993</v>
      </c>
      <c r="AJ29" s="17"/>
      <c r="AK29" s="75">
        <v>20.561542127192702</v>
      </c>
      <c r="AL29" s="17"/>
      <c r="AM29" s="75">
        <v>11.266468251873949</v>
      </c>
      <c r="AN29" s="17"/>
      <c r="AO29" s="292">
        <v>12.565626148500643</v>
      </c>
      <c r="AP29" s="17"/>
      <c r="AQ29" s="75">
        <v>5.3400612216314243E-3</v>
      </c>
      <c r="AR29" s="17"/>
      <c r="AS29" s="75">
        <v>3.2950740999999999E-2</v>
      </c>
      <c r="AT29" s="17"/>
      <c r="AU29" s="75">
        <v>1.627118536</v>
      </c>
      <c r="AV29" s="17"/>
    </row>
    <row r="30" spans="2:48" ht="10.5" customHeight="1">
      <c r="B30" s="42">
        <v>40</v>
      </c>
      <c r="C30" s="42"/>
      <c r="D30" s="16" t="s">
        <v>1442</v>
      </c>
      <c r="E30" s="75" t="s">
        <v>78</v>
      </c>
      <c r="G30" s="75" t="s">
        <v>78</v>
      </c>
      <c r="I30" s="75" t="s">
        <v>78</v>
      </c>
      <c r="K30" s="75" t="s">
        <v>78</v>
      </c>
      <c r="M30" s="75" t="s">
        <v>78</v>
      </c>
      <c r="O30" s="75" t="s">
        <v>78</v>
      </c>
      <c r="Q30" s="75" t="s">
        <v>78</v>
      </c>
      <c r="S30" s="75" t="s">
        <v>78</v>
      </c>
      <c r="U30" s="75">
        <v>891.41719006000005</v>
      </c>
      <c r="V30" s="75"/>
      <c r="W30" s="75">
        <v>837.89601265999988</v>
      </c>
      <c r="Y30" s="75">
        <v>917.02490626999975</v>
      </c>
      <c r="Z30" s="23"/>
      <c r="AA30" s="75">
        <v>726.67456031200027</v>
      </c>
      <c r="AB30" s="75"/>
      <c r="AC30" s="75">
        <v>595.6706889400001</v>
      </c>
      <c r="AD30" s="75"/>
      <c r="AE30" s="75">
        <v>582.62100207220146</v>
      </c>
      <c r="AF30" s="23"/>
      <c r="AG30" s="75">
        <v>632.40668333626411</v>
      </c>
      <c r="AH30" s="75"/>
      <c r="AI30" s="75">
        <v>635.40560006242356</v>
      </c>
      <c r="AJ30" s="75"/>
      <c r="AK30" s="75">
        <v>737.43003215884994</v>
      </c>
      <c r="AL30" s="75"/>
      <c r="AM30" s="75">
        <v>731.99448337549143</v>
      </c>
      <c r="AN30" s="75"/>
      <c r="AO30" s="292">
        <v>799.24230922418042</v>
      </c>
      <c r="AP30" s="75"/>
      <c r="AQ30" s="75">
        <v>636.64627755663548</v>
      </c>
      <c r="AR30" s="75"/>
      <c r="AS30" s="75">
        <v>838.67965437400414</v>
      </c>
      <c r="AT30" s="75"/>
      <c r="AU30" s="75">
        <v>771.77143975653905</v>
      </c>
      <c r="AV30" s="75"/>
    </row>
    <row r="31" spans="2:48" ht="10.5" customHeight="1">
      <c r="B31" s="42">
        <v>41</v>
      </c>
      <c r="C31" s="42"/>
      <c r="D31" s="16" t="s">
        <v>841</v>
      </c>
      <c r="E31" s="75" t="s">
        <v>78</v>
      </c>
      <c r="G31" s="75" t="s">
        <v>78</v>
      </c>
      <c r="I31" s="75" t="s">
        <v>78</v>
      </c>
      <c r="K31" s="75" t="s">
        <v>78</v>
      </c>
      <c r="M31" s="75" t="s">
        <v>78</v>
      </c>
      <c r="O31" s="75" t="s">
        <v>78</v>
      </c>
      <c r="Q31" s="75" t="s">
        <v>78</v>
      </c>
      <c r="S31" s="75" t="s">
        <v>78</v>
      </c>
      <c r="U31" s="75">
        <v>124.41457019999999</v>
      </c>
      <c r="V31" s="17"/>
      <c r="W31" s="75">
        <v>125.04041049999999</v>
      </c>
      <c r="X31" s="23"/>
      <c r="Y31" s="75">
        <v>105.242671836</v>
      </c>
      <c r="Z31" s="23"/>
      <c r="AA31" s="75">
        <v>120.67104842000001</v>
      </c>
      <c r="AB31" s="23"/>
      <c r="AC31" s="75">
        <v>118.97183157000001</v>
      </c>
      <c r="AD31" s="23"/>
      <c r="AE31" s="75">
        <v>122.3572392</v>
      </c>
      <c r="AF31" s="23"/>
      <c r="AG31" s="75">
        <v>127.78671850000001</v>
      </c>
      <c r="AH31" s="23"/>
      <c r="AI31" s="75">
        <v>127.12155199999999</v>
      </c>
      <c r="AJ31" s="17"/>
      <c r="AK31" s="75">
        <v>138.90958219336511</v>
      </c>
      <c r="AL31" s="17"/>
      <c r="AM31" s="75">
        <v>141.1683213612063</v>
      </c>
      <c r="AN31" s="17"/>
      <c r="AO31" s="292">
        <v>156.06035878644482</v>
      </c>
      <c r="AP31" s="17"/>
      <c r="AQ31" s="75">
        <v>140.58007118211427</v>
      </c>
      <c r="AR31" s="17"/>
      <c r="AS31" s="75">
        <v>138.15609166588877</v>
      </c>
      <c r="AT31" s="17"/>
      <c r="AU31" s="75">
        <v>148.092926420118</v>
      </c>
      <c r="AV31" s="17"/>
    </row>
    <row r="32" spans="2:48" ht="10.5" customHeight="1">
      <c r="B32" s="42"/>
      <c r="C32" s="42"/>
      <c r="D32" s="53"/>
      <c r="E32" s="75"/>
      <c r="G32" s="75"/>
      <c r="I32" s="75"/>
      <c r="K32" s="75"/>
      <c r="M32" s="75"/>
      <c r="O32" s="75"/>
      <c r="Q32" s="75"/>
      <c r="S32" s="75"/>
      <c r="U32" s="75"/>
      <c r="V32" s="17"/>
      <c r="Z32" s="23"/>
      <c r="AA32" s="75"/>
      <c r="AB32" s="17"/>
      <c r="AC32" s="75"/>
      <c r="AD32" s="17"/>
      <c r="AE32" s="75"/>
      <c r="AF32" s="23"/>
      <c r="AG32" s="75"/>
      <c r="AH32" s="17"/>
      <c r="AI32" s="75"/>
      <c r="AJ32" s="17"/>
      <c r="AK32" s="75"/>
      <c r="AL32" s="17"/>
      <c r="AM32" s="75"/>
      <c r="AN32" s="17"/>
      <c r="AO32" s="75"/>
      <c r="AP32" s="17"/>
      <c r="AR32" s="17"/>
      <c r="AT32" s="17"/>
      <c r="AV32" s="17"/>
    </row>
    <row r="33" spans="2:48" ht="10.5" customHeight="1">
      <c r="B33" s="42">
        <v>42</v>
      </c>
      <c r="C33" s="42"/>
      <c r="D33" s="16" t="s">
        <v>1441</v>
      </c>
      <c r="E33" s="75" t="s">
        <v>78</v>
      </c>
      <c r="G33" s="75" t="s">
        <v>78</v>
      </c>
      <c r="I33" s="75" t="s">
        <v>78</v>
      </c>
      <c r="K33" s="75" t="s">
        <v>78</v>
      </c>
      <c r="M33" s="75" t="s">
        <v>78</v>
      </c>
      <c r="O33" s="75" t="s">
        <v>78</v>
      </c>
      <c r="Q33" s="75" t="s">
        <v>78</v>
      </c>
      <c r="S33" s="75" t="s">
        <v>78</v>
      </c>
      <c r="U33" s="75">
        <v>499.25683361034618</v>
      </c>
      <c r="V33" s="75"/>
      <c r="W33" s="75">
        <v>528.3874197370194</v>
      </c>
      <c r="Y33" s="75">
        <v>552.44366933154834</v>
      </c>
      <c r="Z33" s="23"/>
      <c r="AA33" s="75">
        <v>531.57321627184899</v>
      </c>
      <c r="AB33" s="75"/>
      <c r="AC33" s="75">
        <v>518.14233414164767</v>
      </c>
      <c r="AD33" s="75"/>
      <c r="AE33" s="75">
        <v>484.85490248135375</v>
      </c>
      <c r="AF33" s="23"/>
      <c r="AG33" s="75">
        <v>408.76172965883347</v>
      </c>
      <c r="AH33" s="75"/>
      <c r="AI33" s="75">
        <v>417.35237241289178</v>
      </c>
      <c r="AJ33" s="23"/>
      <c r="AK33" s="75">
        <v>372.45578082074348</v>
      </c>
      <c r="AL33" s="75"/>
      <c r="AM33" s="75">
        <v>400.06691306538681</v>
      </c>
      <c r="AN33" s="75"/>
      <c r="AO33" s="292">
        <v>517.55600870927822</v>
      </c>
      <c r="AP33" s="75"/>
      <c r="AQ33" s="75">
        <v>577.88501263023272</v>
      </c>
      <c r="AR33" s="75"/>
      <c r="AS33" s="75">
        <v>514.32240445496745</v>
      </c>
      <c r="AT33" s="75"/>
      <c r="AU33" s="75">
        <v>448.18579374500001</v>
      </c>
      <c r="AV33" s="75"/>
    </row>
    <row r="34" spans="2:48" ht="10.5" customHeight="1">
      <c r="B34" s="42"/>
      <c r="C34" s="42"/>
      <c r="D34" s="53" t="s">
        <v>1147</v>
      </c>
      <c r="E34" s="75"/>
      <c r="G34" s="75"/>
      <c r="I34" s="75"/>
      <c r="K34" s="75"/>
      <c r="M34" s="75"/>
      <c r="O34" s="75"/>
      <c r="Q34" s="75"/>
      <c r="S34" s="75"/>
      <c r="U34" s="75"/>
      <c r="V34" s="17"/>
      <c r="W34" s="75"/>
      <c r="X34" s="23"/>
      <c r="Y34" s="75"/>
      <c r="Z34" s="23"/>
      <c r="AA34" s="75"/>
      <c r="AB34" s="17"/>
      <c r="AC34" s="75"/>
      <c r="AD34" s="17"/>
      <c r="AE34" s="75"/>
      <c r="AF34" s="23"/>
      <c r="AG34" s="75"/>
      <c r="AH34" s="17"/>
      <c r="AI34" s="75"/>
      <c r="AJ34" s="17"/>
      <c r="AK34" s="75"/>
      <c r="AL34" s="17"/>
      <c r="AM34" s="75"/>
      <c r="AN34" s="17"/>
      <c r="AO34" s="75"/>
      <c r="AP34" s="17"/>
      <c r="AR34" s="17"/>
      <c r="AT34" s="17"/>
      <c r="AV34" s="17"/>
    </row>
    <row r="35" spans="2:48" ht="10.5" customHeight="1">
      <c r="B35" s="42">
        <v>43</v>
      </c>
      <c r="C35" s="42"/>
      <c r="D35" s="16" t="s">
        <v>842</v>
      </c>
      <c r="E35" s="75" t="s">
        <v>78</v>
      </c>
      <c r="G35" s="75" t="s">
        <v>78</v>
      </c>
      <c r="I35" s="75" t="s">
        <v>78</v>
      </c>
      <c r="K35" s="75" t="s">
        <v>78</v>
      </c>
      <c r="M35" s="75" t="s">
        <v>78</v>
      </c>
      <c r="O35" s="75" t="s">
        <v>78</v>
      </c>
      <c r="Q35" s="75" t="s">
        <v>78</v>
      </c>
      <c r="S35" s="75" t="s">
        <v>78</v>
      </c>
      <c r="U35" s="75" t="s">
        <v>77</v>
      </c>
      <c r="V35" s="17"/>
      <c r="W35" s="75" t="s">
        <v>77</v>
      </c>
      <c r="X35" s="23"/>
      <c r="Y35" s="75">
        <v>1.1000000000000001</v>
      </c>
      <c r="Z35" s="23"/>
      <c r="AA35" s="75" t="s">
        <v>77</v>
      </c>
      <c r="AB35" s="17"/>
      <c r="AC35" s="75" t="s">
        <v>77</v>
      </c>
      <c r="AD35" s="17"/>
      <c r="AE35" s="75" t="s">
        <v>77</v>
      </c>
      <c r="AF35" s="23"/>
      <c r="AG35" s="75" t="s">
        <v>77</v>
      </c>
      <c r="AH35" s="17"/>
      <c r="AI35" s="75" t="s">
        <v>77</v>
      </c>
      <c r="AJ35" s="17"/>
      <c r="AK35" s="75" t="s">
        <v>77</v>
      </c>
      <c r="AL35" s="17"/>
      <c r="AM35" s="75" t="s">
        <v>77</v>
      </c>
      <c r="AN35" s="17"/>
      <c r="AO35" s="75" t="s">
        <v>77</v>
      </c>
      <c r="AP35" s="17"/>
      <c r="AQ35" s="75" t="s">
        <v>77</v>
      </c>
      <c r="AR35" s="17"/>
      <c r="AS35" s="75" t="s">
        <v>77</v>
      </c>
      <c r="AT35" s="17"/>
      <c r="AU35" s="75" t="s">
        <v>77</v>
      </c>
      <c r="AV35" s="17"/>
    </row>
    <row r="36" spans="2:48" ht="10.5" customHeight="1">
      <c r="B36" s="42"/>
      <c r="C36" s="42"/>
      <c r="D36" s="53" t="s">
        <v>443</v>
      </c>
      <c r="E36" s="75"/>
      <c r="G36" s="75"/>
      <c r="I36" s="75"/>
      <c r="K36" s="75"/>
      <c r="M36" s="75"/>
      <c r="O36" s="75"/>
      <c r="Q36" s="75"/>
      <c r="S36" s="75"/>
      <c r="U36" s="75"/>
      <c r="V36" s="17"/>
      <c r="W36" s="75"/>
      <c r="X36" s="23"/>
      <c r="Y36" s="75"/>
      <c r="Z36" s="23"/>
      <c r="AA36" s="75"/>
      <c r="AB36" s="17"/>
      <c r="AC36" s="75"/>
      <c r="AD36" s="17"/>
      <c r="AE36" s="75"/>
      <c r="AF36" s="23"/>
      <c r="AG36" s="75"/>
      <c r="AH36" s="17"/>
      <c r="AI36" s="75"/>
      <c r="AJ36" s="17"/>
      <c r="AK36" s="75"/>
      <c r="AL36" s="17"/>
      <c r="AM36" s="75"/>
      <c r="AN36" s="17"/>
      <c r="AO36" s="75"/>
      <c r="AP36" s="17"/>
      <c r="AR36" s="17"/>
      <c r="AT36" s="17"/>
      <c r="AV36" s="17"/>
    </row>
    <row r="37" spans="2:48" ht="10.5" customHeight="1">
      <c r="B37" s="42">
        <v>44</v>
      </c>
      <c r="C37" s="42"/>
      <c r="D37" s="16" t="s">
        <v>843</v>
      </c>
      <c r="E37" s="75" t="s">
        <v>78</v>
      </c>
      <c r="G37" s="75" t="s">
        <v>78</v>
      </c>
      <c r="I37" s="75" t="s">
        <v>78</v>
      </c>
      <c r="K37" s="75" t="s">
        <v>78</v>
      </c>
      <c r="M37" s="75" t="s">
        <v>78</v>
      </c>
      <c r="O37" s="75" t="s">
        <v>78</v>
      </c>
      <c r="Q37" s="75" t="s">
        <v>78</v>
      </c>
      <c r="S37" s="75" t="s">
        <v>78</v>
      </c>
      <c r="U37" s="75">
        <v>0.91894098000000002</v>
      </c>
      <c r="V37" s="17"/>
      <c r="W37" s="75">
        <v>0.43509979999999998</v>
      </c>
      <c r="X37" s="23"/>
      <c r="Y37" s="75">
        <v>0.87795219999999996</v>
      </c>
      <c r="Z37" s="23"/>
      <c r="AA37" s="75">
        <v>3.3075729799999998</v>
      </c>
      <c r="AB37" s="17"/>
      <c r="AC37" s="75">
        <v>1.3605255000000001</v>
      </c>
      <c r="AD37" s="17"/>
      <c r="AE37" s="75">
        <v>7.5541545174182474</v>
      </c>
      <c r="AF37" s="23"/>
      <c r="AG37" s="75">
        <v>19.974956589765043</v>
      </c>
      <c r="AH37" s="17"/>
      <c r="AI37" s="75">
        <v>31.853309490000001</v>
      </c>
      <c r="AJ37" s="17"/>
      <c r="AK37" s="75">
        <v>31.701393254647058</v>
      </c>
      <c r="AL37" s="17"/>
      <c r="AM37" s="75">
        <v>25.697493380292013</v>
      </c>
      <c r="AN37" s="17"/>
      <c r="AO37" s="292">
        <v>26.1888069947803</v>
      </c>
      <c r="AP37" s="17"/>
      <c r="AQ37" s="75">
        <v>27.387225979868564</v>
      </c>
      <c r="AR37" s="17"/>
      <c r="AS37" s="75">
        <v>47.437525548644189</v>
      </c>
      <c r="AT37" s="17"/>
      <c r="AU37" s="75">
        <v>56.562135253000001</v>
      </c>
      <c r="AV37" s="17"/>
    </row>
    <row r="38" spans="2:48" ht="10.5" customHeight="1">
      <c r="B38" s="42">
        <v>45</v>
      </c>
      <c r="C38" s="42"/>
      <c r="D38" s="16" t="s">
        <v>844</v>
      </c>
      <c r="E38" s="75" t="s">
        <v>78</v>
      </c>
      <c r="G38" s="75" t="s">
        <v>78</v>
      </c>
      <c r="I38" s="75" t="s">
        <v>78</v>
      </c>
      <c r="K38" s="75" t="s">
        <v>78</v>
      </c>
      <c r="M38" s="75" t="s">
        <v>78</v>
      </c>
      <c r="O38" s="75" t="s">
        <v>78</v>
      </c>
      <c r="Q38" s="75" t="s">
        <v>78</v>
      </c>
      <c r="S38" s="75" t="s">
        <v>78</v>
      </c>
      <c r="U38" s="75">
        <v>5327.4734615009465</v>
      </c>
      <c r="V38" s="146"/>
      <c r="W38" s="75">
        <v>5146.9144873601426</v>
      </c>
      <c r="X38" s="23"/>
      <c r="Y38" s="75">
        <v>5744.2415920914318</v>
      </c>
      <c r="Z38" s="23"/>
      <c r="AA38" s="75">
        <v>5600.670815395476</v>
      </c>
      <c r="AB38" s="23"/>
      <c r="AC38" s="75">
        <v>4831.7238597592095</v>
      </c>
      <c r="AD38" s="23"/>
      <c r="AE38" s="75">
        <v>4249.2907460081378</v>
      </c>
      <c r="AF38" s="23"/>
      <c r="AG38" s="75">
        <v>4923.7843719081056</v>
      </c>
      <c r="AH38" s="23"/>
      <c r="AI38" s="75">
        <v>5004.7071555535476</v>
      </c>
      <c r="AJ38" s="23"/>
      <c r="AK38" s="75">
        <v>4383.5444465526507</v>
      </c>
      <c r="AL38" s="17"/>
      <c r="AM38" s="75">
        <v>4402.5825498113572</v>
      </c>
      <c r="AN38" s="17"/>
      <c r="AO38" s="292">
        <v>4842.2797502392004</v>
      </c>
      <c r="AP38" s="17"/>
      <c r="AQ38" s="75">
        <v>5201.81549388645</v>
      </c>
      <c r="AR38" s="17"/>
      <c r="AS38" s="75">
        <v>4513.2629683570649</v>
      </c>
      <c r="AT38" s="17"/>
      <c r="AU38" s="75">
        <v>5165.5557828279498</v>
      </c>
      <c r="AV38" s="17"/>
    </row>
    <row r="39" spans="2:48" ht="10.5" customHeight="1">
      <c r="B39" s="42">
        <v>46</v>
      </c>
      <c r="C39" s="42"/>
      <c r="D39" s="16" t="s">
        <v>1440</v>
      </c>
      <c r="E39" s="75" t="s">
        <v>78</v>
      </c>
      <c r="G39" s="75" t="s">
        <v>78</v>
      </c>
      <c r="I39" s="75" t="s">
        <v>78</v>
      </c>
      <c r="K39" s="75" t="s">
        <v>78</v>
      </c>
      <c r="M39" s="75" t="s">
        <v>78</v>
      </c>
      <c r="O39" s="75" t="s">
        <v>78</v>
      </c>
      <c r="Q39" s="75" t="s">
        <v>78</v>
      </c>
      <c r="S39" s="75" t="s">
        <v>78</v>
      </c>
      <c r="U39" s="75" t="s">
        <v>77</v>
      </c>
      <c r="V39" s="17"/>
      <c r="W39" s="75" t="s">
        <v>77</v>
      </c>
      <c r="X39" s="23"/>
      <c r="Y39" s="75">
        <v>0.77193317999999989</v>
      </c>
      <c r="Z39" s="23"/>
      <c r="AA39" s="75">
        <v>2.8746952400000008</v>
      </c>
      <c r="AB39" s="17"/>
      <c r="AC39" s="75">
        <v>2.0343017900000002</v>
      </c>
      <c r="AD39" s="17"/>
      <c r="AE39" s="75">
        <v>2.3628351563814256</v>
      </c>
      <c r="AF39" s="23"/>
      <c r="AG39" s="75">
        <v>1.415856846556278</v>
      </c>
      <c r="AH39" s="17"/>
      <c r="AI39" s="75" t="s">
        <v>77</v>
      </c>
      <c r="AJ39" s="17"/>
      <c r="AK39" s="75" t="s">
        <v>77</v>
      </c>
      <c r="AL39" s="17"/>
      <c r="AM39" s="75" t="s">
        <v>77</v>
      </c>
      <c r="AN39" s="17"/>
      <c r="AO39" s="292">
        <v>0.40471564068995686</v>
      </c>
      <c r="AP39" s="17"/>
      <c r="AQ39" s="75">
        <v>12.671710139651459</v>
      </c>
      <c r="AR39" s="17"/>
      <c r="AS39" s="75">
        <v>17.58764143604531</v>
      </c>
      <c r="AT39" s="17"/>
      <c r="AU39" s="75">
        <v>69.996514000000005</v>
      </c>
      <c r="AV39" s="17"/>
    </row>
    <row r="40" spans="2:48" ht="10.5" customHeight="1">
      <c r="B40" s="42"/>
      <c r="C40" s="42"/>
      <c r="D40" s="16"/>
      <c r="E40" s="75"/>
      <c r="G40" s="75"/>
      <c r="I40" s="75"/>
      <c r="K40" s="75"/>
      <c r="M40" s="75"/>
      <c r="O40" s="75"/>
      <c r="Q40" s="75"/>
      <c r="S40" s="75"/>
      <c r="U40" s="75"/>
      <c r="V40" s="75"/>
      <c r="W40" s="75"/>
      <c r="X40" s="23"/>
      <c r="Y40" s="75"/>
      <c r="Z40" s="23"/>
      <c r="AA40" s="75"/>
      <c r="AB40" s="75"/>
      <c r="AC40" s="75"/>
      <c r="AD40" s="75"/>
      <c r="AE40" s="75"/>
      <c r="AF40" s="23"/>
      <c r="AG40" s="75"/>
      <c r="AH40" s="75"/>
      <c r="AI40" s="75"/>
      <c r="AJ40" s="75"/>
      <c r="AK40" s="75"/>
      <c r="AL40" s="75"/>
      <c r="AM40" s="75"/>
      <c r="AN40" s="75"/>
      <c r="AO40" s="75"/>
      <c r="AP40" s="75"/>
      <c r="AQ40" s="75"/>
      <c r="AR40" s="75"/>
      <c r="AS40" s="75"/>
      <c r="AT40" s="75"/>
      <c r="AU40" s="75"/>
      <c r="AV40" s="75"/>
    </row>
    <row r="41" spans="2:48" ht="10.5" customHeight="1">
      <c r="B41" s="42">
        <v>47</v>
      </c>
      <c r="D41" s="18" t="s">
        <v>498</v>
      </c>
      <c r="E41" s="133">
        <v>20083.036625000001</v>
      </c>
      <c r="F41" s="43"/>
      <c r="G41" s="133">
        <v>19547.320933999999</v>
      </c>
      <c r="H41" s="43"/>
      <c r="I41" s="246">
        <v>19196.639254000002</v>
      </c>
      <c r="J41" s="43"/>
      <c r="K41" s="133">
        <v>20169.596828666665</v>
      </c>
      <c r="L41" s="43"/>
      <c r="M41" s="133">
        <v>20856.236783</v>
      </c>
      <c r="N41" s="43"/>
      <c r="O41" s="133">
        <v>21674.886677491828</v>
      </c>
      <c r="P41" s="43"/>
      <c r="Q41" s="133">
        <v>22271.432596099214</v>
      </c>
      <c r="R41" s="43"/>
      <c r="S41" s="133">
        <v>23250.308103429517</v>
      </c>
      <c r="T41" s="43"/>
      <c r="U41" s="133">
        <v>22923.74528420663</v>
      </c>
      <c r="V41" s="147"/>
      <c r="W41" s="133">
        <v>20388.782683416586</v>
      </c>
      <c r="X41" s="67"/>
      <c r="Y41" s="133">
        <v>23463.779546497324</v>
      </c>
      <c r="Z41" s="67"/>
      <c r="AA41" s="133">
        <v>22864.313752432328</v>
      </c>
      <c r="AB41" s="17"/>
      <c r="AC41" s="133">
        <v>22042.639650754358</v>
      </c>
      <c r="AD41" s="17"/>
      <c r="AE41" s="133">
        <v>20969.974511402354</v>
      </c>
      <c r="AF41" s="23"/>
      <c r="AG41" s="133">
        <v>21296.328419109854</v>
      </c>
      <c r="AH41" s="17"/>
      <c r="AI41" s="133">
        <v>20699.316376736137</v>
      </c>
      <c r="AJ41" s="23"/>
      <c r="AK41" s="133">
        <v>21405.755612759873</v>
      </c>
      <c r="AL41" s="17"/>
      <c r="AM41" s="133">
        <v>21838.175764905012</v>
      </c>
      <c r="AN41" s="17"/>
      <c r="AO41" s="246">
        <v>22794.306069131799</v>
      </c>
      <c r="AP41" s="78"/>
      <c r="AQ41" s="133">
        <v>22222.065674494039</v>
      </c>
      <c r="AR41" s="78"/>
      <c r="AS41" s="133">
        <v>22093.897979014626</v>
      </c>
      <c r="AT41" s="17"/>
      <c r="AU41" s="133">
        <v>23448.90912548692</v>
      </c>
      <c r="AV41" s="17"/>
    </row>
    <row r="42" spans="2:48" ht="6" customHeight="1">
      <c r="B42" s="34"/>
      <c r="C42" s="77"/>
      <c r="D42" s="56"/>
      <c r="E42" s="141"/>
      <c r="F42" s="130"/>
      <c r="G42" s="141"/>
      <c r="H42" s="130"/>
      <c r="I42" s="141"/>
      <c r="J42" s="130"/>
      <c r="K42" s="141"/>
      <c r="L42" s="130"/>
      <c r="M42" s="141"/>
      <c r="N42" s="130"/>
      <c r="O42" s="141"/>
      <c r="P42" s="130"/>
      <c r="Q42" s="141"/>
      <c r="R42" s="130"/>
      <c r="S42" s="141"/>
      <c r="T42" s="130"/>
      <c r="U42" s="141"/>
      <c r="V42" s="84"/>
      <c r="W42" s="141"/>
      <c r="X42" s="85"/>
      <c r="Y42" s="141"/>
      <c r="Z42" s="85"/>
      <c r="AA42" s="141"/>
      <c r="AB42" s="41"/>
      <c r="AC42" s="141"/>
      <c r="AD42" s="41"/>
      <c r="AE42" s="141"/>
      <c r="AF42" s="141"/>
      <c r="AG42" s="141"/>
      <c r="AH42" s="41"/>
      <c r="AI42" s="141"/>
      <c r="AJ42" s="41"/>
      <c r="AK42" s="141"/>
      <c r="AL42" s="41"/>
      <c r="AM42" s="141"/>
      <c r="AN42" s="41"/>
      <c r="AO42" s="141"/>
      <c r="AP42" s="41"/>
      <c r="AQ42" s="141"/>
      <c r="AR42" s="41"/>
      <c r="AS42" s="141"/>
      <c r="AT42" s="41"/>
      <c r="AU42" s="141"/>
      <c r="AV42" s="41"/>
    </row>
    <row r="43" spans="2:48" ht="6" customHeight="1">
      <c r="B43" s="42"/>
      <c r="D43" s="16"/>
      <c r="E43" s="75"/>
      <c r="G43" s="75"/>
      <c r="I43" s="75"/>
      <c r="K43" s="75"/>
      <c r="M43" s="75"/>
      <c r="O43" s="75"/>
      <c r="Q43" s="75"/>
      <c r="S43" s="75"/>
      <c r="U43" s="75"/>
      <c r="V43" s="75"/>
      <c r="W43" s="28"/>
      <c r="X43" s="23"/>
      <c r="Y43" s="75"/>
      <c r="Z43" s="23"/>
      <c r="AA43" s="75"/>
      <c r="AB43" s="75"/>
      <c r="AC43" s="75"/>
      <c r="AD43" s="75"/>
      <c r="AE43" s="75"/>
      <c r="AF43" s="75"/>
      <c r="AG43" s="75"/>
      <c r="AH43" s="75"/>
      <c r="AI43" s="75"/>
      <c r="AJ43" s="75"/>
      <c r="AK43" s="75"/>
      <c r="AL43" s="75"/>
      <c r="AM43" s="75"/>
      <c r="AN43" s="75"/>
      <c r="AO43" s="75"/>
      <c r="AP43" s="75"/>
      <c r="AQ43" s="75"/>
      <c r="AR43" s="75"/>
      <c r="AS43" s="75"/>
      <c r="AT43" s="75"/>
      <c r="AU43" s="75"/>
      <c r="AV43" s="75"/>
    </row>
    <row r="44" spans="2:48" ht="10.5" customHeight="1">
      <c r="B44" s="42"/>
      <c r="D44" s="69" t="s">
        <v>444</v>
      </c>
      <c r="E44" s="75"/>
      <c r="G44" s="75"/>
      <c r="I44" s="75"/>
      <c r="K44" s="75"/>
      <c r="M44" s="75"/>
      <c r="O44" s="75"/>
      <c r="Q44" s="75"/>
      <c r="S44" s="75"/>
      <c r="U44" s="75"/>
      <c r="V44" s="17"/>
      <c r="W44" s="28"/>
      <c r="Y44" s="75"/>
      <c r="Z44" s="23"/>
      <c r="AA44" s="75"/>
      <c r="AB44" s="17"/>
      <c r="AC44" s="75"/>
      <c r="AD44" s="17"/>
      <c r="AE44" s="75"/>
      <c r="AF44" s="17"/>
      <c r="AG44" s="75"/>
      <c r="AH44" s="17"/>
      <c r="AI44" s="75"/>
      <c r="AJ44" s="17"/>
      <c r="AK44" s="75"/>
      <c r="AL44" s="17"/>
      <c r="AM44" s="75"/>
      <c r="AN44" s="17"/>
      <c r="AO44" s="75"/>
      <c r="AP44" s="17"/>
      <c r="AQ44" s="75"/>
      <c r="AR44" s="17"/>
      <c r="AS44" s="75"/>
      <c r="AT44" s="17"/>
      <c r="AU44" s="75"/>
      <c r="AV44" s="17"/>
    </row>
    <row r="45" spans="2:48" ht="10.5" customHeight="1">
      <c r="B45" s="42">
        <v>48</v>
      </c>
      <c r="D45" s="27" t="s">
        <v>499</v>
      </c>
      <c r="E45" s="28">
        <v>1231.45</v>
      </c>
      <c r="F45" s="23"/>
      <c r="G45" s="28">
        <v>1158.8</v>
      </c>
      <c r="H45" s="23"/>
      <c r="I45" s="28">
        <v>1260.055584</v>
      </c>
      <c r="J45" s="23"/>
      <c r="K45" s="28">
        <v>1224.3683590000001</v>
      </c>
      <c r="L45" s="23"/>
      <c r="M45" s="28">
        <v>1169.1000690000001</v>
      </c>
      <c r="N45" s="23"/>
      <c r="O45" s="28">
        <v>2290.3415880000002</v>
      </c>
      <c r="P45" s="23"/>
      <c r="Q45" s="28">
        <v>2038.4544711999999</v>
      </c>
      <c r="R45" s="23"/>
      <c r="S45" s="28">
        <v>1978.1900389999998</v>
      </c>
      <c r="T45" s="23"/>
      <c r="U45" s="28">
        <v>1937.1668033300007</v>
      </c>
      <c r="W45" s="75">
        <v>1801.0061981399999</v>
      </c>
      <c r="Y45" s="75">
        <v>1893.7595576846154</v>
      </c>
      <c r="Z45" s="23"/>
      <c r="AA45" s="75">
        <v>1756.9492620188371</v>
      </c>
      <c r="AB45" s="23"/>
      <c r="AC45" s="75">
        <v>1829.8127604399072</v>
      </c>
      <c r="AD45" s="23"/>
      <c r="AE45" s="75">
        <v>2165.4235905306505</v>
      </c>
      <c r="AF45" s="23"/>
      <c r="AG45" s="75">
        <v>1835.0396273950346</v>
      </c>
      <c r="AH45" s="23"/>
      <c r="AI45" s="75">
        <v>1875.3747129848507</v>
      </c>
      <c r="AJ45" s="23"/>
      <c r="AK45" s="75">
        <v>1874.1550210007922</v>
      </c>
      <c r="AL45" s="23"/>
      <c r="AM45" s="75">
        <v>2012.6261693570123</v>
      </c>
      <c r="AN45" s="23"/>
      <c r="AO45" s="292">
        <v>2086.6452551816651</v>
      </c>
      <c r="AP45" s="23"/>
      <c r="AQ45" s="75">
        <v>2321.1592535026821</v>
      </c>
      <c r="AR45" s="23"/>
      <c r="AS45" s="75">
        <v>1867.1717224143292</v>
      </c>
      <c r="AT45" s="23"/>
      <c r="AU45" s="263">
        <v>2598.4094086072901</v>
      </c>
      <c r="AV45" s="23"/>
    </row>
    <row r="46" spans="2:48" ht="12.75" customHeight="1">
      <c r="B46" s="42">
        <v>49</v>
      </c>
      <c r="D46" s="27" t="s">
        <v>668</v>
      </c>
      <c r="E46" s="28">
        <v>733.40499999999997</v>
      </c>
      <c r="F46" s="75"/>
      <c r="G46" s="28">
        <v>654.09</v>
      </c>
      <c r="H46" s="75"/>
      <c r="I46" s="28">
        <v>518.32588899999996</v>
      </c>
      <c r="J46" s="75"/>
      <c r="K46" s="28">
        <v>461.25073300000003</v>
      </c>
      <c r="L46" s="75"/>
      <c r="M46" s="28">
        <v>373.40947599999998</v>
      </c>
      <c r="N46" s="75"/>
      <c r="O46" s="28">
        <v>306.27821399999999</v>
      </c>
      <c r="P46" s="75"/>
      <c r="Q46" s="28">
        <v>201.15075999999999</v>
      </c>
      <c r="R46" s="75"/>
      <c r="S46" s="28">
        <v>260.58029399999998</v>
      </c>
      <c r="T46" s="75"/>
      <c r="U46" s="28">
        <v>204.71676882999989</v>
      </c>
      <c r="W46" s="75">
        <v>208.97341168</v>
      </c>
      <c r="Y46" s="75">
        <v>173.76503171999997</v>
      </c>
      <c r="Z46" s="23"/>
      <c r="AA46" s="75">
        <v>123.82108104200003</v>
      </c>
      <c r="AB46" s="75"/>
      <c r="AC46" s="75">
        <v>118.11113985030147</v>
      </c>
      <c r="AD46" s="75"/>
      <c r="AE46" s="75">
        <v>130.86808645163822</v>
      </c>
      <c r="AF46" s="23"/>
      <c r="AG46" s="75">
        <v>144.58805507397977</v>
      </c>
      <c r="AH46" s="75"/>
      <c r="AI46" s="75">
        <v>125.72440883716247</v>
      </c>
      <c r="AJ46" s="23"/>
      <c r="AK46" s="75">
        <v>169.03325524888248</v>
      </c>
      <c r="AL46" s="75"/>
      <c r="AM46" s="75">
        <v>161.37921057894749</v>
      </c>
      <c r="AN46" s="75"/>
      <c r="AO46" s="292">
        <v>147.68610399952914</v>
      </c>
      <c r="AP46" s="75"/>
      <c r="AQ46" s="75">
        <v>112.50029163000001</v>
      </c>
      <c r="AR46" s="75"/>
      <c r="AS46" s="75">
        <v>97.247786662727634</v>
      </c>
      <c r="AT46" s="75"/>
      <c r="AU46" s="75">
        <v>140.14409173199999</v>
      </c>
      <c r="AV46" s="75"/>
    </row>
    <row r="47" spans="2:48" ht="10.5" customHeight="1">
      <c r="B47" s="42">
        <v>50</v>
      </c>
      <c r="D47" s="27" t="s">
        <v>500</v>
      </c>
      <c r="E47" s="28">
        <v>100</v>
      </c>
      <c r="F47" s="17"/>
      <c r="G47" s="28">
        <v>137</v>
      </c>
      <c r="H47" s="17"/>
      <c r="I47" s="28">
        <v>112.169876</v>
      </c>
      <c r="J47" s="17"/>
      <c r="K47" s="28">
        <v>94.215759000000006</v>
      </c>
      <c r="L47" s="17"/>
      <c r="M47" s="28">
        <v>78.246360999999993</v>
      </c>
      <c r="N47" s="17"/>
      <c r="O47" s="28">
        <v>76.462648999999999</v>
      </c>
      <c r="P47" s="17"/>
      <c r="Q47" s="28">
        <v>68.816624000000004</v>
      </c>
      <c r="R47" s="17"/>
      <c r="S47" s="28">
        <v>82.968502000000001</v>
      </c>
      <c r="T47" s="17"/>
      <c r="U47" s="28">
        <v>73.540931860000001</v>
      </c>
      <c r="W47" s="75">
        <v>156.24359868000002</v>
      </c>
      <c r="Y47" s="75">
        <v>168.62195859538463</v>
      </c>
      <c r="Z47" s="23"/>
      <c r="AA47" s="75">
        <v>160.87593839189933</v>
      </c>
      <c r="AB47" s="17"/>
      <c r="AC47" s="75">
        <v>163.66840707431115</v>
      </c>
      <c r="AD47" s="17"/>
      <c r="AE47" s="75">
        <v>174.75090517203978</v>
      </c>
      <c r="AF47" s="23"/>
      <c r="AG47" s="75">
        <v>276.14334669696797</v>
      </c>
      <c r="AH47" s="23"/>
      <c r="AI47" s="75">
        <v>271.49414948879428</v>
      </c>
      <c r="AJ47" s="17"/>
      <c r="AK47" s="75">
        <v>289.55483141549519</v>
      </c>
      <c r="AL47" s="17"/>
      <c r="AM47" s="75">
        <v>238.94120370201355</v>
      </c>
      <c r="AN47" s="17"/>
      <c r="AO47" s="292">
        <v>222.53156499075433</v>
      </c>
      <c r="AP47" s="17"/>
      <c r="AQ47" s="75">
        <v>479.52980175915758</v>
      </c>
      <c r="AR47" s="17"/>
      <c r="AS47" s="75">
        <v>537.83689921187306</v>
      </c>
      <c r="AT47" s="17"/>
      <c r="AU47" s="75">
        <v>377.563035733395</v>
      </c>
      <c r="AV47" s="17"/>
    </row>
    <row r="48" spans="2:48" ht="10.5" customHeight="1">
      <c r="B48" s="42">
        <v>51</v>
      </c>
      <c r="D48" s="27" t="s">
        <v>501</v>
      </c>
      <c r="E48" s="28">
        <v>49</v>
      </c>
      <c r="F48" s="17"/>
      <c r="G48" s="28">
        <v>40</v>
      </c>
      <c r="H48" s="17"/>
      <c r="I48" s="28">
        <v>34.749645999999998</v>
      </c>
      <c r="J48" s="17"/>
      <c r="K48" s="28">
        <v>37.017291999999998</v>
      </c>
      <c r="L48" s="17"/>
      <c r="M48" s="28">
        <v>38.374915000000001</v>
      </c>
      <c r="N48" s="17"/>
      <c r="O48" s="28">
        <v>40.978079999999999</v>
      </c>
      <c r="P48" s="17"/>
      <c r="Q48" s="28">
        <v>43.963531000000003</v>
      </c>
      <c r="R48" s="17"/>
      <c r="S48" s="28">
        <v>47.440474000000002</v>
      </c>
      <c r="T48" s="17"/>
      <c r="U48" s="28">
        <v>48.780678619999989</v>
      </c>
      <c r="W48" s="75">
        <v>38.257919710000017</v>
      </c>
      <c r="Y48" s="75">
        <v>39.648487090000003</v>
      </c>
      <c r="Z48" s="23"/>
      <c r="AA48" s="75">
        <v>58.299908569999992</v>
      </c>
      <c r="AB48" s="17"/>
      <c r="AC48" s="75">
        <v>58.86766532</v>
      </c>
      <c r="AD48" s="17"/>
      <c r="AE48" s="75">
        <v>50.877786529999995</v>
      </c>
      <c r="AF48" s="23"/>
      <c r="AG48" s="75">
        <v>80.594269341192643</v>
      </c>
      <c r="AH48" s="17"/>
      <c r="AI48" s="75">
        <v>59.006821837001624</v>
      </c>
      <c r="AJ48" s="17"/>
      <c r="AK48" s="75">
        <v>63.34037289372958</v>
      </c>
      <c r="AL48" s="17"/>
      <c r="AM48" s="75">
        <v>63.926976965808819</v>
      </c>
      <c r="AN48" s="17"/>
      <c r="AO48" s="292">
        <v>62.004301159655881</v>
      </c>
      <c r="AP48" s="17"/>
      <c r="AQ48" s="75">
        <v>65.403756080943623</v>
      </c>
      <c r="AR48" s="17"/>
      <c r="AS48" s="75">
        <v>73.091982400283541</v>
      </c>
      <c r="AT48" s="17"/>
      <c r="AU48" s="75">
        <v>96.658552665000002</v>
      </c>
      <c r="AV48" s="17"/>
    </row>
    <row r="49" spans="1:48" ht="10.5" customHeight="1">
      <c r="B49" s="42">
        <v>52</v>
      </c>
      <c r="D49" s="27" t="s">
        <v>502</v>
      </c>
      <c r="E49" s="28">
        <v>2654</v>
      </c>
      <c r="F49" s="75"/>
      <c r="G49" s="28">
        <v>2434</v>
      </c>
      <c r="H49" s="75"/>
      <c r="I49" s="28">
        <v>2422.5815779999998</v>
      </c>
      <c r="J49" s="75"/>
      <c r="K49" s="28">
        <v>2553.390942</v>
      </c>
      <c r="L49" s="75"/>
      <c r="M49" s="28">
        <v>2703.075186</v>
      </c>
      <c r="N49" s="75"/>
      <c r="O49" s="28">
        <v>2688.4949919999999</v>
      </c>
      <c r="P49" s="75"/>
      <c r="Q49" s="28">
        <v>2716.2105655</v>
      </c>
      <c r="R49" s="75"/>
      <c r="S49" s="28">
        <v>2810.1961810834605</v>
      </c>
      <c r="T49" s="75"/>
      <c r="U49" s="28">
        <v>2809.6406222599999</v>
      </c>
      <c r="W49" s="75">
        <v>2757.7896744538452</v>
      </c>
      <c r="Y49" s="75">
        <v>2729.3482277128346</v>
      </c>
      <c r="Z49" s="23"/>
      <c r="AA49" s="75">
        <v>2716.4482602739999</v>
      </c>
      <c r="AB49" s="75"/>
      <c r="AC49" s="75">
        <v>3120.8828805153694</v>
      </c>
      <c r="AD49" s="75"/>
      <c r="AE49" s="75">
        <v>2180.7127865405027</v>
      </c>
      <c r="AF49" s="23"/>
      <c r="AG49" s="75">
        <v>2051.67678428</v>
      </c>
      <c r="AH49" s="75"/>
      <c r="AI49" s="75">
        <v>1955.3694465581891</v>
      </c>
      <c r="AJ49" s="75"/>
      <c r="AK49" s="75">
        <v>2228.2512901473488</v>
      </c>
      <c r="AL49" s="75"/>
      <c r="AM49" s="75">
        <v>1993.6920071444554</v>
      </c>
      <c r="AN49" s="75"/>
      <c r="AO49" s="292">
        <v>2408.2059680180837</v>
      </c>
      <c r="AP49" s="75"/>
      <c r="AQ49" s="75">
        <v>2439.8844441791289</v>
      </c>
      <c r="AR49" s="75"/>
      <c r="AS49" s="75">
        <v>2090.2391795902677</v>
      </c>
      <c r="AT49" s="75"/>
      <c r="AU49" s="263">
        <v>2005.19054031719</v>
      </c>
      <c r="AV49" s="75"/>
    </row>
    <row r="50" spans="1:48" ht="6" customHeight="1">
      <c r="A50" s="13"/>
      <c r="B50" s="13"/>
      <c r="C50" s="13"/>
      <c r="D50" s="148"/>
      <c r="E50" s="123"/>
      <c r="F50" s="123"/>
      <c r="G50" s="123"/>
      <c r="H50" s="123"/>
      <c r="I50" s="123"/>
      <c r="J50" s="123"/>
      <c r="K50" s="123"/>
      <c r="L50" s="123"/>
      <c r="M50" s="123"/>
      <c r="N50" s="123"/>
      <c r="O50" s="123"/>
      <c r="P50" s="123"/>
      <c r="Q50" s="123"/>
      <c r="R50" s="123"/>
      <c r="S50" s="123"/>
      <c r="T50" s="123"/>
      <c r="U50" s="123"/>
      <c r="V50" s="123"/>
      <c r="W50" s="123"/>
      <c r="X50" s="123"/>
      <c r="Y50" s="13"/>
      <c r="Z50" s="123"/>
      <c r="AA50" s="14"/>
      <c r="AB50" s="123"/>
      <c r="AC50" s="123"/>
      <c r="AD50" s="123"/>
      <c r="AE50" s="14"/>
      <c r="AF50" s="123"/>
      <c r="AG50" s="14"/>
      <c r="AH50" s="123"/>
      <c r="AI50" s="14"/>
      <c r="AJ50" s="123"/>
      <c r="AK50" s="14"/>
      <c r="AL50" s="123"/>
      <c r="AM50" s="14"/>
      <c r="AN50" s="123"/>
      <c r="AO50" s="14"/>
      <c r="AP50" s="123"/>
      <c r="AQ50" s="14"/>
      <c r="AR50" s="123"/>
      <c r="AS50" s="14"/>
      <c r="AT50" s="123"/>
      <c r="AU50" s="14"/>
      <c r="AV50" s="123"/>
    </row>
    <row r="51" spans="1:48" ht="3.75" customHeight="1"/>
    <row r="52" spans="1:48" ht="61.5" customHeight="1">
      <c r="B52" s="539" t="s">
        <v>1179</v>
      </c>
      <c r="C52" s="539"/>
      <c r="D52" s="539"/>
      <c r="E52" s="539"/>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c r="AH52" s="539"/>
      <c r="AI52" s="539"/>
      <c r="AJ52" s="539"/>
      <c r="AK52" s="539"/>
      <c r="AL52" s="539"/>
      <c r="AM52" s="539"/>
      <c r="AN52" s="539"/>
      <c r="AO52" s="539"/>
      <c r="AP52" s="539"/>
      <c r="AQ52" s="539"/>
      <c r="AR52" s="539"/>
      <c r="AS52" s="540"/>
      <c r="AT52" s="344"/>
      <c r="AV52" s="344"/>
    </row>
    <row r="53" spans="1:48" ht="10.5" customHeight="1">
      <c r="B53" s="53"/>
    </row>
  </sheetData>
  <mergeCells count="48">
    <mergeCell ref="AP6:AP7"/>
    <mergeCell ref="AE6:AE7"/>
    <mergeCell ref="AL6:AL7"/>
    <mergeCell ref="AU6:AU7"/>
    <mergeCell ref="AV6:AV7"/>
    <mergeCell ref="AF6:AF7"/>
    <mergeCell ref="AG6:AG7"/>
    <mergeCell ref="AH6:AH7"/>
    <mergeCell ref="AI6:AI7"/>
    <mergeCell ref="AJ6:AJ7"/>
    <mergeCell ref="AQ6:AQ7"/>
    <mergeCell ref="AR6:AR7"/>
    <mergeCell ref="AS6:AS7"/>
    <mergeCell ref="AT6:AT7"/>
    <mergeCell ref="AM6:AM7"/>
    <mergeCell ref="AN6:AN7"/>
    <mergeCell ref="AO6:AO7"/>
    <mergeCell ref="Z6:Z7"/>
    <mergeCell ref="AA6:AA7"/>
    <mergeCell ref="AB6:AB7"/>
    <mergeCell ref="AC6:AC7"/>
    <mergeCell ref="AD6:AD7"/>
    <mergeCell ref="U6:U7"/>
    <mergeCell ref="V6:V7"/>
    <mergeCell ref="W6:W7"/>
    <mergeCell ref="X6:X7"/>
    <mergeCell ref="Y6:Y7"/>
    <mergeCell ref="P6:P7"/>
    <mergeCell ref="Q6:Q7"/>
    <mergeCell ref="R6:R7"/>
    <mergeCell ref="S6:S7"/>
    <mergeCell ref="T6:T7"/>
    <mergeCell ref="B52:AS52"/>
    <mergeCell ref="C7:D7"/>
    <mergeCell ref="AK6:AK7"/>
    <mergeCell ref="B6:B7"/>
    <mergeCell ref="C6:D6"/>
    <mergeCell ref="E6:E7"/>
    <mergeCell ref="F6:F7"/>
    <mergeCell ref="G6:G7"/>
    <mergeCell ref="H6:H7"/>
    <mergeCell ref="I6:I7"/>
    <mergeCell ref="J6:J7"/>
    <mergeCell ref="K6:K7"/>
    <mergeCell ref="L6:L7"/>
    <mergeCell ref="M6:M7"/>
    <mergeCell ref="N6:N7"/>
    <mergeCell ref="O6:O7"/>
  </mergeCells>
  <printOptions horizontalCentered="1"/>
  <pageMargins left="0" right="0" top="0" bottom="0" header="0" footer="0"/>
  <pageSetup paperSize="9" scale="88" orientation="portrait"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BG31"/>
  <sheetViews>
    <sheetView workbookViewId="0"/>
  </sheetViews>
  <sheetFormatPr defaultColWidth="9.109375" defaultRowHeight="13.8" outlineLevelCol="1"/>
  <cols>
    <col min="1" max="1" width="1.33203125" style="11" customWidth="1"/>
    <col min="2" max="2" width="2.6640625" style="11" bestFit="1" customWidth="1"/>
    <col min="3" max="3" width="0.88671875" style="11" customWidth="1"/>
    <col min="4" max="4" width="37.33203125" style="11" customWidth="1"/>
    <col min="5" max="5" width="5.6640625" style="11" hidden="1" customWidth="1" outlineLevel="1"/>
    <col min="6" max="6" width="1.33203125" style="11" hidden="1" customWidth="1" outlineLevel="1"/>
    <col min="7" max="7" width="5.6640625" style="11" hidden="1" customWidth="1" outlineLevel="1"/>
    <col min="8" max="8" width="1.33203125" style="11" hidden="1" customWidth="1" outlineLevel="1"/>
    <col min="9" max="9" width="5.6640625" style="11" hidden="1" customWidth="1" outlineLevel="1"/>
    <col min="10" max="10" width="1.33203125" style="11" hidden="1" customWidth="1" outlineLevel="1"/>
    <col min="11" max="11" width="5.6640625" style="11" hidden="1" customWidth="1" outlineLevel="1"/>
    <col min="12" max="12" width="1.33203125" style="11" hidden="1" customWidth="1" outlineLevel="1"/>
    <col min="13" max="13" width="5.6640625" style="11" hidden="1" customWidth="1" outlineLevel="1"/>
    <col min="14" max="14" width="1.33203125" style="11" hidden="1" customWidth="1" outlineLevel="1"/>
    <col min="15" max="15" width="5.6640625" style="11" hidden="1" customWidth="1" outlineLevel="1"/>
    <col min="16" max="16" width="1.33203125" style="11" hidden="1" customWidth="1" outlineLevel="1"/>
    <col min="17" max="17" width="5.6640625" style="11" hidden="1" customWidth="1" outlineLevel="1"/>
    <col min="18" max="18" width="1.33203125" style="11" hidden="1" customWidth="1" outlineLevel="1"/>
    <col min="19" max="19" width="6.6640625" style="11" hidden="1" customWidth="1" outlineLevel="1"/>
    <col min="20" max="20" width="1.33203125" style="11" hidden="1" customWidth="1" outlineLevel="1"/>
    <col min="21" max="21" width="6.6640625" style="11" hidden="1" customWidth="1" outlineLevel="1"/>
    <col min="22" max="22" width="1.33203125" style="11" hidden="1" customWidth="1" outlineLevel="1"/>
    <col min="23" max="23" width="6.6640625" style="11" hidden="1" customWidth="1" outlineLevel="1"/>
    <col min="24" max="24" width="1.33203125" style="11" hidden="1" customWidth="1" outlineLevel="1"/>
    <col min="25" max="25" width="6.6640625" style="11" hidden="1" customWidth="1" outlineLevel="1"/>
    <col min="26" max="26" width="2" style="11" hidden="1" customWidth="1" outlineLevel="1"/>
    <col min="27" max="27" width="6.6640625" style="11" hidden="1" customWidth="1" outlineLevel="1"/>
    <col min="28" max="28" width="1.33203125" style="11" hidden="1" customWidth="1" outlineLevel="1"/>
    <col min="29" max="29" width="6.6640625" style="11" hidden="1" customWidth="1" outlineLevel="1"/>
    <col min="30" max="30" width="1.33203125" style="11" hidden="1" customWidth="1" outlineLevel="1"/>
    <col min="31" max="31" width="6.6640625" style="11" hidden="1" customWidth="1" outlineLevel="1"/>
    <col min="32" max="32" width="1.33203125" style="11" hidden="1" customWidth="1" outlineLevel="1"/>
    <col min="33" max="33" width="6.6640625" style="11" hidden="1" customWidth="1" outlineLevel="1"/>
    <col min="34" max="34" width="1.33203125" style="11" hidden="1" customWidth="1" outlineLevel="1"/>
    <col min="35" max="35" width="6.6640625" style="11" hidden="1" customWidth="1" outlineLevel="1"/>
    <col min="36" max="36" width="1.33203125" style="11" hidden="1" customWidth="1" outlineLevel="1"/>
    <col min="37" max="37" width="6.6640625" style="11" customWidth="1" collapsed="1"/>
    <col min="38" max="38" width="1.33203125" style="11" customWidth="1"/>
    <col min="39" max="39" width="6.6640625" style="11" customWidth="1"/>
    <col min="40" max="40" width="1.33203125" style="11" customWidth="1"/>
    <col min="41" max="41" width="6.6640625" style="11" customWidth="1"/>
    <col min="42" max="42" width="1.6640625" style="11" customWidth="1"/>
    <col min="43" max="43" width="6.6640625" style="11" customWidth="1"/>
    <col min="44" max="44" width="1.33203125" style="11" customWidth="1"/>
    <col min="45" max="45" width="6.6640625" style="11" customWidth="1"/>
    <col min="46" max="46" width="1.33203125" style="11" customWidth="1"/>
    <col min="47" max="47" width="6.6640625" style="11" customWidth="1"/>
    <col min="48" max="48" width="1.33203125" style="11" customWidth="1"/>
    <col min="49" max="49" width="0.88671875" style="11" customWidth="1"/>
    <col min="50" max="50" width="42.6640625" style="11" customWidth="1"/>
    <col min="51" max="51" width="9.109375" style="211"/>
    <col min="52" max="53" width="13.109375" style="11" bestFit="1" customWidth="1"/>
    <col min="54" max="54" width="11.33203125" style="11" bestFit="1" customWidth="1"/>
    <col min="55" max="55" width="9.44140625" style="11" bestFit="1" customWidth="1"/>
    <col min="56" max="56" width="11.33203125" style="11" bestFit="1" customWidth="1"/>
    <col min="57" max="57" width="9.44140625" style="11" bestFit="1" customWidth="1"/>
    <col min="58" max="58" width="11.33203125" style="11" bestFit="1" customWidth="1"/>
    <col min="59" max="16384" width="9.109375" style="11"/>
  </cols>
  <sheetData>
    <row r="1" spans="1:59">
      <c r="B1" s="10" t="s">
        <v>1226</v>
      </c>
      <c r="C1" s="10"/>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59">
      <c r="B2" s="156" t="s">
        <v>1227</v>
      </c>
      <c r="C2" s="10"/>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row>
    <row r="3" spans="1:59" ht="6" customHeight="1">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13"/>
      <c r="AT3" s="13"/>
      <c r="AU3" s="13"/>
      <c r="AV3" s="13"/>
      <c r="AW3" s="13"/>
      <c r="AX3" s="13"/>
    </row>
    <row r="4" spans="1:59" ht="6"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59" ht="12.75" customHeight="1">
      <c r="A5" s="16"/>
      <c r="B5" s="542" t="s">
        <v>649</v>
      </c>
      <c r="C5" s="542"/>
      <c r="D5" s="542"/>
      <c r="E5" s="476">
        <v>2000</v>
      </c>
      <c r="F5" s="476"/>
      <c r="G5" s="476">
        <v>2001</v>
      </c>
      <c r="H5" s="476"/>
      <c r="I5" s="476">
        <v>2002</v>
      </c>
      <c r="J5" s="476"/>
      <c r="K5" s="476">
        <v>2003</v>
      </c>
      <c r="L5" s="476"/>
      <c r="M5" s="476">
        <v>2004</v>
      </c>
      <c r="N5" s="476"/>
      <c r="O5" s="476">
        <v>2005</v>
      </c>
      <c r="P5" s="476"/>
      <c r="Q5" s="476">
        <v>2006</v>
      </c>
      <c r="R5" s="476"/>
      <c r="S5" s="476">
        <v>2007</v>
      </c>
      <c r="T5" s="476"/>
      <c r="U5" s="476">
        <v>2008</v>
      </c>
      <c r="V5" s="476"/>
      <c r="W5" s="476">
        <v>2009</v>
      </c>
      <c r="X5" s="476"/>
      <c r="Y5" s="476">
        <v>2010</v>
      </c>
      <c r="Z5" s="476"/>
      <c r="AA5" s="476">
        <v>2011</v>
      </c>
      <c r="AB5" s="476"/>
      <c r="AC5" s="476">
        <v>2012</v>
      </c>
      <c r="AD5" s="476"/>
      <c r="AE5" s="476">
        <v>2013</v>
      </c>
      <c r="AF5" s="476"/>
      <c r="AG5" s="476">
        <v>2014</v>
      </c>
      <c r="AH5" s="476"/>
      <c r="AI5" s="476">
        <v>2015</v>
      </c>
      <c r="AJ5" s="476"/>
      <c r="AK5" s="476">
        <v>2016</v>
      </c>
      <c r="AL5" s="476"/>
      <c r="AM5" s="476">
        <v>2017</v>
      </c>
      <c r="AN5" s="476"/>
      <c r="AO5" s="476" t="s">
        <v>838</v>
      </c>
      <c r="AP5" s="476"/>
      <c r="AQ5" s="476">
        <v>2019</v>
      </c>
      <c r="AR5" s="476"/>
      <c r="AS5" s="476">
        <v>2020</v>
      </c>
      <c r="AT5" s="476"/>
      <c r="AU5" s="476">
        <v>2021</v>
      </c>
      <c r="AV5" s="281"/>
      <c r="AX5" s="542" t="s">
        <v>662</v>
      </c>
      <c r="AY5" s="11"/>
    </row>
    <row r="6" spans="1:59" ht="12.75" customHeight="1">
      <c r="A6" s="16"/>
      <c r="B6" s="485"/>
      <c r="C6" s="485"/>
      <c r="D6" s="485"/>
      <c r="E6" s="534"/>
      <c r="F6" s="534"/>
      <c r="G6" s="534"/>
      <c r="H6" s="534"/>
      <c r="I6" s="534"/>
      <c r="J6" s="534"/>
      <c r="K6" s="534"/>
      <c r="L6" s="534"/>
      <c r="M6" s="534"/>
      <c r="N6" s="534"/>
      <c r="O6" s="534"/>
      <c r="P6" s="534"/>
      <c r="Q6" s="534"/>
      <c r="R6" s="534"/>
      <c r="S6" s="534"/>
      <c r="T6" s="534"/>
      <c r="U6" s="534"/>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290"/>
      <c r="AW6" s="391"/>
      <c r="AX6" s="485"/>
    </row>
    <row r="7" spans="1:59" ht="5.0999999999999996" customHeight="1">
      <c r="A7" s="16"/>
      <c r="B7" s="42"/>
      <c r="C7" s="42"/>
      <c r="D7" s="16"/>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6"/>
    </row>
    <row r="8" spans="1:59" ht="10.5" customHeight="1">
      <c r="A8" s="16"/>
      <c r="B8" s="42"/>
      <c r="C8" s="42"/>
      <c r="D8" s="63" t="s">
        <v>650</v>
      </c>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17"/>
      <c r="AX8" s="63" t="s">
        <v>651</v>
      </c>
      <c r="AZ8" s="197"/>
      <c r="BA8" s="197"/>
      <c r="BB8" s="197"/>
      <c r="BC8" s="197"/>
      <c r="BD8" s="197"/>
      <c r="BE8" s="197"/>
      <c r="BF8" s="197"/>
    </row>
    <row r="9" spans="1:59" ht="11.25" customHeight="1">
      <c r="A9" s="16"/>
      <c r="B9" s="42">
        <v>1</v>
      </c>
      <c r="C9" s="42"/>
      <c r="D9" s="16" t="s">
        <v>652</v>
      </c>
      <c r="E9" s="28">
        <v>3950.4780000000005</v>
      </c>
      <c r="G9" s="28">
        <v>3884.181</v>
      </c>
      <c r="I9" s="28">
        <v>4163.4066899999998</v>
      </c>
      <c r="K9" s="28">
        <v>4174.3646233333329</v>
      </c>
      <c r="M9" s="28">
        <v>4667.0225086349355</v>
      </c>
      <c r="O9" s="28">
        <v>5205.1842300333155</v>
      </c>
      <c r="P9" s="78"/>
      <c r="Q9" s="28">
        <v>5239.6030287793528</v>
      </c>
      <c r="S9" s="28">
        <v>5512.949003664372</v>
      </c>
      <c r="T9" s="28"/>
      <c r="U9" s="28">
        <v>5651.2593651660836</v>
      </c>
      <c r="V9" s="184"/>
      <c r="W9" s="28">
        <v>7132.6194373333328</v>
      </c>
      <c r="X9" s="28"/>
      <c r="Y9" s="28">
        <v>7373.0977298044518</v>
      </c>
      <c r="Z9" s="28"/>
      <c r="AA9" s="28">
        <v>7617.8692827324721</v>
      </c>
      <c r="AB9" s="16"/>
      <c r="AC9" s="28">
        <v>7453.3541823200103</v>
      </c>
      <c r="AD9" s="16"/>
      <c r="AE9" s="28">
        <v>6284.505722089867</v>
      </c>
      <c r="AF9" s="143"/>
      <c r="AG9" s="28">
        <v>6326.9940601004664</v>
      </c>
      <c r="AH9" s="16"/>
      <c r="AI9" s="28">
        <v>5880.0495750122991</v>
      </c>
      <c r="AJ9" s="16"/>
      <c r="AK9" s="28">
        <v>5578.8623177752434</v>
      </c>
      <c r="AL9" s="16"/>
      <c r="AM9" s="28">
        <v>5486.1311668270573</v>
      </c>
      <c r="AN9" s="16"/>
      <c r="AO9" s="184">
        <v>6228.6968598718886</v>
      </c>
      <c r="AP9" s="16"/>
      <c r="AQ9" s="28">
        <v>5766.3245752824014</v>
      </c>
      <c r="AR9" s="16"/>
      <c r="AS9" s="28">
        <v>6699.7033157036349</v>
      </c>
      <c r="AT9" s="16"/>
      <c r="AU9" s="28">
        <v>7075.0063755646397</v>
      </c>
      <c r="AV9" s="16"/>
      <c r="AW9" s="75"/>
      <c r="AX9" s="16" t="s">
        <v>610</v>
      </c>
    </row>
    <row r="10" spans="1:59" ht="11.25" customHeight="1">
      <c r="A10" s="16"/>
      <c r="B10" s="42">
        <v>2</v>
      </c>
      <c r="C10" s="42"/>
      <c r="D10" s="16" t="s">
        <v>663</v>
      </c>
      <c r="E10" s="28">
        <v>1044.799</v>
      </c>
      <c r="G10" s="28">
        <v>1018.3439999999999</v>
      </c>
      <c r="I10" s="28">
        <v>1159.1234999999999</v>
      </c>
      <c r="K10" s="28">
        <v>1452.5737899999999</v>
      </c>
      <c r="M10" s="28">
        <v>1543.2123913650646</v>
      </c>
      <c r="O10" s="28">
        <v>1666.2052803092297</v>
      </c>
      <c r="Q10" s="28">
        <v>2260.1196412206464</v>
      </c>
      <c r="S10" s="28">
        <v>2463.4511927195658</v>
      </c>
      <c r="U10" s="28">
        <v>2609.5380653872908</v>
      </c>
      <c r="V10" s="251"/>
      <c r="W10" s="28">
        <v>2980.6562756666667</v>
      </c>
      <c r="Y10" s="28">
        <v>3945.0784989807503</v>
      </c>
      <c r="AA10" s="28">
        <v>3993.0528146360061</v>
      </c>
      <c r="AB10" s="16"/>
      <c r="AC10" s="28">
        <v>3719.4417948001374</v>
      </c>
      <c r="AD10" s="16"/>
      <c r="AE10" s="28">
        <v>4123.3572131402125</v>
      </c>
      <c r="AF10" s="143"/>
      <c r="AG10" s="28">
        <v>4086.3009405807516</v>
      </c>
      <c r="AH10" s="16"/>
      <c r="AI10" s="28">
        <v>4338.6547023333333</v>
      </c>
      <c r="AJ10" s="16"/>
      <c r="AK10" s="28">
        <v>4162.1770901349173</v>
      </c>
      <c r="AL10" s="16"/>
      <c r="AM10" s="28">
        <v>4010.2964559831762</v>
      </c>
      <c r="AN10" s="16"/>
      <c r="AO10" s="184">
        <v>4342.9721321501866</v>
      </c>
      <c r="AP10" s="16"/>
      <c r="AQ10" s="28">
        <v>4939.0644886391756</v>
      </c>
      <c r="AR10" s="16"/>
      <c r="AS10" s="28">
        <v>3807.3661526596993</v>
      </c>
      <c r="AT10" s="16"/>
      <c r="AU10" s="28">
        <v>4001.0602598512901</v>
      </c>
      <c r="AV10" s="16"/>
      <c r="AW10" s="75"/>
      <c r="AX10" s="24" t="s">
        <v>665</v>
      </c>
    </row>
    <row r="11" spans="1:59" ht="11.25" customHeight="1">
      <c r="A11" s="16"/>
      <c r="B11" s="42">
        <v>3</v>
      </c>
      <c r="C11" s="42"/>
      <c r="D11" s="18" t="s">
        <v>231</v>
      </c>
      <c r="E11" s="65">
        <v>4995.277</v>
      </c>
      <c r="F11" s="43"/>
      <c r="G11" s="65">
        <v>4902.5250000000005</v>
      </c>
      <c r="H11" s="43"/>
      <c r="I11" s="65">
        <v>5322.5301899999995</v>
      </c>
      <c r="J11" s="43"/>
      <c r="K11" s="65">
        <v>5626.9384133333324</v>
      </c>
      <c r="L11" s="43"/>
      <c r="M11" s="65">
        <v>6210.2349000000004</v>
      </c>
      <c r="N11" s="43"/>
      <c r="O11" s="65">
        <v>6871.3895103425466</v>
      </c>
      <c r="P11" s="78"/>
      <c r="Q11" s="65">
        <v>7499.7226700000001</v>
      </c>
      <c r="R11" s="43"/>
      <c r="S11" s="65">
        <v>7976.4001963839382</v>
      </c>
      <c r="T11" s="43"/>
      <c r="U11" s="65">
        <v>8260.7974305533753</v>
      </c>
      <c r="V11" s="252"/>
      <c r="W11" s="65">
        <v>10113.275712999999</v>
      </c>
      <c r="X11" s="43"/>
      <c r="Y11" s="65">
        <v>11318.176228785202</v>
      </c>
      <c r="Z11" s="43"/>
      <c r="AA11" s="65">
        <v>11610.922097368479</v>
      </c>
      <c r="AB11" s="16"/>
      <c r="AC11" s="65">
        <v>11172.795977120148</v>
      </c>
      <c r="AD11" s="16"/>
      <c r="AE11" s="65">
        <v>10407.86293523008</v>
      </c>
      <c r="AF11" s="143"/>
      <c r="AG11" s="65">
        <v>10413.295000681219</v>
      </c>
      <c r="AH11" s="16"/>
      <c r="AI11" s="65">
        <v>10218.704277345631</v>
      </c>
      <c r="AJ11" s="16"/>
      <c r="AK11" s="65">
        <v>9741.0394079101607</v>
      </c>
      <c r="AL11" s="16"/>
      <c r="AM11" s="65">
        <v>9496.4276228102335</v>
      </c>
      <c r="AN11" s="16"/>
      <c r="AO11" s="196">
        <v>10571.668992022074</v>
      </c>
      <c r="AP11" s="16"/>
      <c r="AQ11" s="65">
        <v>10705.389063921577</v>
      </c>
      <c r="AR11" s="16"/>
      <c r="AS11" s="65">
        <v>10507.069468363334</v>
      </c>
      <c r="AT11" s="16"/>
      <c r="AU11" s="65">
        <v>11076.066635415929</v>
      </c>
      <c r="AV11" s="16"/>
      <c r="AW11" s="75"/>
      <c r="AX11" s="18" t="s">
        <v>84</v>
      </c>
      <c r="AZ11" s="198"/>
      <c r="BA11" s="198"/>
      <c r="BB11" s="82"/>
      <c r="BC11" s="198"/>
      <c r="BD11" s="198"/>
      <c r="BE11" s="198"/>
      <c r="BF11" s="198"/>
      <c r="BG11" s="198"/>
    </row>
    <row r="12" spans="1:59" ht="11.25" customHeight="1">
      <c r="A12" s="16"/>
      <c r="B12" s="42">
        <v>4</v>
      </c>
      <c r="C12" s="42"/>
      <c r="D12" s="24" t="s">
        <v>653</v>
      </c>
      <c r="E12" s="28">
        <v>3579.6216389620449</v>
      </c>
      <c r="G12" s="28">
        <v>3554.3172583202922</v>
      </c>
      <c r="I12" s="28">
        <v>3938.9642833662783</v>
      </c>
      <c r="K12" s="28">
        <v>4070.1351240454774</v>
      </c>
      <c r="M12" s="28">
        <v>4517.7394135583399</v>
      </c>
      <c r="O12" s="28">
        <v>5109.6504870385033</v>
      </c>
      <c r="Q12" s="28">
        <v>5419.8316714102366</v>
      </c>
      <c r="S12" s="28">
        <v>5752.4453226275527</v>
      </c>
      <c r="U12" s="28">
        <v>5886.1585009482542</v>
      </c>
      <c r="V12" s="251"/>
      <c r="W12" s="28">
        <v>7202.3088895856845</v>
      </c>
      <c r="Y12" s="28">
        <v>7855.117018834284</v>
      </c>
      <c r="Z12" s="78"/>
      <c r="AA12" s="28">
        <v>8393.0522224805136</v>
      </c>
      <c r="AB12" s="16"/>
      <c r="AC12" s="28">
        <v>8183.0445195230914</v>
      </c>
      <c r="AD12" s="16"/>
      <c r="AE12" s="28">
        <v>8052.2626736051488</v>
      </c>
      <c r="AF12" s="143"/>
      <c r="AG12" s="28">
        <v>7823.4808348977822</v>
      </c>
      <c r="AH12" s="16"/>
      <c r="AI12" s="262">
        <v>7938.2964374581452</v>
      </c>
      <c r="AJ12" s="23"/>
      <c r="AK12" s="28">
        <v>7482.0970012900489</v>
      </c>
      <c r="AL12" s="16"/>
      <c r="AM12" s="28">
        <v>7521.5076463032601</v>
      </c>
      <c r="AN12" s="16"/>
      <c r="AO12" s="184">
        <v>8159.3772800488814</v>
      </c>
      <c r="AP12" s="16"/>
      <c r="AQ12" s="28">
        <v>8288.540731633886</v>
      </c>
      <c r="AR12" s="16"/>
      <c r="AS12" s="28">
        <v>7580.3737512261496</v>
      </c>
      <c r="AT12" s="16"/>
      <c r="AU12" s="28">
        <v>7142.3909999999996</v>
      </c>
      <c r="AV12" s="16"/>
      <c r="AW12" s="75"/>
      <c r="AX12" s="24" t="s">
        <v>654</v>
      </c>
      <c r="AY12" s="254"/>
      <c r="AZ12" s="82"/>
    </row>
    <row r="13" spans="1:59" ht="6" customHeight="1">
      <c r="A13" s="16"/>
      <c r="B13" s="34"/>
      <c r="C13" s="34"/>
      <c r="D13" s="56"/>
      <c r="E13" s="83"/>
      <c r="F13" s="130"/>
      <c r="G13" s="83"/>
      <c r="H13" s="130"/>
      <c r="I13" s="83"/>
      <c r="J13" s="130"/>
      <c r="K13" s="83"/>
      <c r="L13" s="130"/>
      <c r="M13" s="83"/>
      <c r="N13" s="130"/>
      <c r="O13" s="83"/>
      <c r="P13" s="130"/>
      <c r="Q13" s="83"/>
      <c r="R13" s="130"/>
      <c r="S13" s="83"/>
      <c r="T13" s="130"/>
      <c r="U13" s="83"/>
      <c r="V13" s="130"/>
      <c r="W13" s="83"/>
      <c r="X13" s="130"/>
      <c r="Y13" s="83"/>
      <c r="Z13" s="130"/>
      <c r="AA13" s="83"/>
      <c r="AB13" s="70"/>
      <c r="AC13" s="83"/>
      <c r="AD13" s="70"/>
      <c r="AE13" s="83"/>
      <c r="AF13" s="83"/>
      <c r="AG13" s="83"/>
      <c r="AH13" s="70"/>
      <c r="AI13" s="83"/>
      <c r="AJ13" s="70"/>
      <c r="AK13" s="83"/>
      <c r="AL13" s="70"/>
      <c r="AM13" s="83"/>
      <c r="AN13" s="70"/>
      <c r="AO13" s="83"/>
      <c r="AP13" s="70"/>
      <c r="AQ13" s="83"/>
      <c r="AR13" s="70"/>
      <c r="AS13" s="83"/>
      <c r="AT13" s="70"/>
      <c r="AU13" s="83"/>
      <c r="AV13" s="70"/>
      <c r="AW13" s="73"/>
      <c r="AX13" s="56"/>
      <c r="AZ13" s="82"/>
    </row>
    <row r="14" spans="1:59" ht="6" customHeight="1">
      <c r="A14" s="16"/>
      <c r="B14" s="42"/>
      <c r="C14" s="42"/>
      <c r="D14" s="16"/>
      <c r="E14" s="28"/>
      <c r="G14" s="28"/>
      <c r="I14" s="28"/>
      <c r="K14" s="28"/>
      <c r="M14" s="28"/>
      <c r="O14" s="28"/>
      <c r="Q14" s="28"/>
      <c r="S14" s="28"/>
      <c r="U14" s="28"/>
      <c r="W14" s="28"/>
      <c r="Y14" s="28"/>
      <c r="AA14" s="28"/>
      <c r="AB14" s="16"/>
      <c r="AC14" s="28"/>
      <c r="AD14" s="16"/>
      <c r="AE14" s="28"/>
      <c r="AF14" s="143"/>
      <c r="AG14" s="28"/>
      <c r="AH14" s="16"/>
      <c r="AI14" s="28"/>
      <c r="AJ14" s="16"/>
      <c r="AK14" s="28"/>
      <c r="AL14" s="16"/>
      <c r="AM14" s="28"/>
      <c r="AN14" s="16"/>
      <c r="AO14" s="28"/>
      <c r="AP14" s="16"/>
      <c r="AQ14" s="28"/>
      <c r="AR14" s="16"/>
      <c r="AS14" s="28"/>
      <c r="AT14" s="16"/>
      <c r="AU14" s="28"/>
      <c r="AV14" s="16"/>
      <c r="AW14" s="17"/>
      <c r="AX14" s="16"/>
    </row>
    <row r="15" spans="1:59" ht="10.5" customHeight="1">
      <c r="A15" s="16"/>
      <c r="B15" s="42"/>
      <c r="C15" s="42"/>
      <c r="D15" s="63" t="s">
        <v>655</v>
      </c>
      <c r="E15" s="28"/>
      <c r="G15" s="28"/>
      <c r="I15" s="28"/>
      <c r="K15" s="28"/>
      <c r="M15" s="28"/>
      <c r="O15" s="28"/>
      <c r="Q15" s="28"/>
      <c r="S15" s="28"/>
      <c r="U15" s="28"/>
      <c r="W15" s="28"/>
      <c r="Y15" s="28"/>
      <c r="AA15" s="28"/>
      <c r="AB15" s="16"/>
      <c r="AC15" s="28"/>
      <c r="AD15" s="16"/>
      <c r="AE15" s="28"/>
      <c r="AF15" s="143"/>
      <c r="AG15" s="28"/>
      <c r="AH15" s="16"/>
      <c r="AI15" s="28"/>
      <c r="AJ15" s="16"/>
      <c r="AK15" s="28"/>
      <c r="AL15" s="16"/>
      <c r="AM15" s="28"/>
      <c r="AN15" s="16"/>
      <c r="AO15" s="28"/>
      <c r="AP15" s="16"/>
      <c r="AQ15" s="28"/>
      <c r="AR15" s="16"/>
      <c r="AS15" s="28"/>
      <c r="AT15" s="16"/>
      <c r="AU15" s="28"/>
      <c r="AV15" s="16"/>
      <c r="AW15" s="17"/>
      <c r="AX15" s="63" t="s">
        <v>656</v>
      </c>
    </row>
    <row r="16" spans="1:59" ht="11.25" customHeight="1">
      <c r="A16" s="16"/>
      <c r="B16" s="42">
        <v>5</v>
      </c>
      <c r="C16" s="42"/>
      <c r="D16" s="16" t="s">
        <v>652</v>
      </c>
      <c r="E16" s="28">
        <v>1992.3546809999998</v>
      </c>
      <c r="G16" s="28">
        <v>1794.0111699999998</v>
      </c>
      <c r="I16" s="28">
        <v>2044.094272</v>
      </c>
      <c r="K16" s="28">
        <v>2110.0979296666665</v>
      </c>
      <c r="M16" s="28">
        <v>2319.4921646064158</v>
      </c>
      <c r="O16" s="28">
        <v>2680.0943899102322</v>
      </c>
      <c r="Q16" s="28">
        <v>2704.5091056537835</v>
      </c>
      <c r="S16" s="28">
        <v>3038.440235066349</v>
      </c>
      <c r="T16" s="28"/>
      <c r="U16" s="28">
        <v>3261.6155022295479</v>
      </c>
      <c r="V16" s="184"/>
      <c r="W16" s="28">
        <v>3505.4701716039026</v>
      </c>
      <c r="X16" s="28"/>
      <c r="Y16" s="28">
        <v>3414.0191730058941</v>
      </c>
      <c r="Z16" s="28"/>
      <c r="AA16" s="28">
        <v>3438.2916804919073</v>
      </c>
      <c r="AB16" s="16"/>
      <c r="AC16" s="28">
        <v>3238.0838392296</v>
      </c>
      <c r="AD16" s="16"/>
      <c r="AE16" s="28">
        <v>2624.002259293165</v>
      </c>
      <c r="AF16" s="143"/>
      <c r="AG16" s="28">
        <v>2678.5933418303835</v>
      </c>
      <c r="AH16" s="16"/>
      <c r="AI16" s="28">
        <v>2636.6764824109237</v>
      </c>
      <c r="AJ16" s="23"/>
      <c r="AK16" s="28">
        <v>2319.5878152035643</v>
      </c>
      <c r="AL16" s="16"/>
      <c r="AM16" s="28">
        <v>2438.8236183964832</v>
      </c>
      <c r="AN16" s="16"/>
      <c r="AO16" s="184">
        <v>2920.8339098155998</v>
      </c>
      <c r="AP16" s="16"/>
      <c r="AQ16" s="28">
        <v>2981.2379863161045</v>
      </c>
      <c r="AR16" s="16"/>
      <c r="AS16" s="28">
        <v>3527.2623113161521</v>
      </c>
      <c r="AT16" s="16"/>
      <c r="AU16" s="28">
        <v>3718.4173389920802</v>
      </c>
      <c r="AV16" s="16"/>
      <c r="AW16" s="75"/>
      <c r="AX16" s="16" t="s">
        <v>610</v>
      </c>
    </row>
    <row r="17" spans="1:52" ht="11.25" customHeight="1">
      <c r="A17" s="16"/>
      <c r="B17" s="42">
        <v>6</v>
      </c>
      <c r="C17" s="42"/>
      <c r="D17" s="16" t="s">
        <v>663</v>
      </c>
      <c r="E17" s="28">
        <v>689.16894400000001</v>
      </c>
      <c r="G17" s="28">
        <v>664.17500000000007</v>
      </c>
      <c r="I17" s="28">
        <v>736.90181200000006</v>
      </c>
      <c r="K17" s="28">
        <v>864.09648600000003</v>
      </c>
      <c r="M17" s="28">
        <v>999.98373239358375</v>
      </c>
      <c r="O17" s="28">
        <v>1067.8167855815975</v>
      </c>
      <c r="Q17" s="28">
        <v>1440.2672291462168</v>
      </c>
      <c r="S17" s="28">
        <v>1631.3182179321454</v>
      </c>
      <c r="U17" s="28">
        <v>1827.600923504081</v>
      </c>
      <c r="V17" s="251"/>
      <c r="W17" s="28">
        <v>2088.4736075032019</v>
      </c>
      <c r="Y17" s="28">
        <v>2540.7666111865929</v>
      </c>
      <c r="AA17" s="28">
        <v>2501.6439776182547</v>
      </c>
      <c r="AB17" s="16"/>
      <c r="AC17" s="28">
        <v>2137.0798548805069</v>
      </c>
      <c r="AD17" s="16"/>
      <c r="AE17" s="28">
        <v>2249.7992360861867</v>
      </c>
      <c r="AF17" s="143"/>
      <c r="AG17" s="28">
        <v>2367.3357309561225</v>
      </c>
      <c r="AH17" s="16"/>
      <c r="AI17" s="28">
        <v>2626.2822658096666</v>
      </c>
      <c r="AJ17" s="23"/>
      <c r="AK17" s="28">
        <v>2649.7677222872708</v>
      </c>
      <c r="AL17" s="16"/>
      <c r="AM17" s="28">
        <v>2493.8874184264214</v>
      </c>
      <c r="AN17" s="16"/>
      <c r="AO17" s="184">
        <v>2858.3980460134817</v>
      </c>
      <c r="AP17" s="16"/>
      <c r="AQ17" s="28">
        <v>2954.1753092865624</v>
      </c>
      <c r="AR17" s="16"/>
      <c r="AS17" s="28">
        <v>2462.3352221844589</v>
      </c>
      <c r="AT17" s="16"/>
      <c r="AU17" s="28">
        <v>2663.0913574250499</v>
      </c>
      <c r="AV17" s="16"/>
      <c r="AW17" s="75"/>
      <c r="AX17" s="16" t="s">
        <v>665</v>
      </c>
    </row>
    <row r="18" spans="1:52" ht="11.25" customHeight="1">
      <c r="A18" s="16"/>
      <c r="B18" s="42">
        <v>7</v>
      </c>
      <c r="C18" s="42"/>
      <c r="D18" s="18" t="s">
        <v>231</v>
      </c>
      <c r="E18" s="65">
        <v>2681.5236250000003</v>
      </c>
      <c r="F18" s="43"/>
      <c r="G18" s="65">
        <v>2458.1861699999999</v>
      </c>
      <c r="H18" s="43"/>
      <c r="I18" s="65">
        <v>2780.9960840000003</v>
      </c>
      <c r="J18" s="43"/>
      <c r="K18" s="65">
        <v>2974.1944156666668</v>
      </c>
      <c r="L18" s="43"/>
      <c r="M18" s="65">
        <v>3319.4758969999998</v>
      </c>
      <c r="N18" s="43"/>
      <c r="O18" s="65">
        <v>3747.9111754918299</v>
      </c>
      <c r="P18" s="43"/>
      <c r="Q18" s="65">
        <v>4144.7763348000008</v>
      </c>
      <c r="R18" s="43"/>
      <c r="S18" s="65">
        <v>4669.7584529984942</v>
      </c>
      <c r="T18" s="43"/>
      <c r="U18" s="65">
        <v>5089.2164257336299</v>
      </c>
      <c r="V18" s="252"/>
      <c r="W18" s="65">
        <v>5593.943779107105</v>
      </c>
      <c r="X18" s="143"/>
      <c r="Y18" s="65">
        <v>5954.785784192487</v>
      </c>
      <c r="Z18" s="43"/>
      <c r="AA18" s="65">
        <v>5939.9356581101611</v>
      </c>
      <c r="AB18" s="16"/>
      <c r="AC18" s="65">
        <v>5375.1636941101078</v>
      </c>
      <c r="AD18" s="16"/>
      <c r="AE18" s="65">
        <v>4873.8014953793518</v>
      </c>
      <c r="AF18" s="143"/>
      <c r="AG18" s="65">
        <v>5045.9290727865064</v>
      </c>
      <c r="AH18" s="16"/>
      <c r="AI18" s="65">
        <v>5262.9587482205898</v>
      </c>
      <c r="AJ18" s="23"/>
      <c r="AK18" s="65">
        <v>4969.3555374908356</v>
      </c>
      <c r="AL18" s="16"/>
      <c r="AM18" s="65">
        <v>4932.7110368229041</v>
      </c>
      <c r="AN18" s="16"/>
      <c r="AO18" s="196">
        <v>5779.2319558290837</v>
      </c>
      <c r="AP18" s="16"/>
      <c r="AQ18" s="65">
        <v>5935.4132956026669</v>
      </c>
      <c r="AR18" s="16"/>
      <c r="AS18" s="65">
        <v>5989.5975335006115</v>
      </c>
      <c r="AT18" s="16"/>
      <c r="AU18" s="65">
        <v>6381.5086964171296</v>
      </c>
      <c r="AV18" s="16"/>
      <c r="AW18" s="75"/>
      <c r="AX18" s="18" t="s">
        <v>84</v>
      </c>
    </row>
    <row r="19" spans="1:52" ht="11.25" customHeight="1">
      <c r="A19" s="16"/>
      <c r="B19" s="42">
        <v>8</v>
      </c>
      <c r="C19" s="42"/>
      <c r="D19" s="24" t="s">
        <v>653</v>
      </c>
      <c r="E19" s="28">
        <v>1945.8230148485452</v>
      </c>
      <c r="G19" s="28">
        <v>1797.7847019602261</v>
      </c>
      <c r="I19" s="28">
        <v>2075.2804570987405</v>
      </c>
      <c r="K19" s="28">
        <v>2193.2463558264699</v>
      </c>
      <c r="M19" s="28">
        <v>2478.3542437912029</v>
      </c>
      <c r="O19" s="28">
        <v>2849.4344167688314</v>
      </c>
      <c r="Q19" s="28">
        <v>3067.668726392556</v>
      </c>
      <c r="S19" s="28">
        <v>3445.7774878092255</v>
      </c>
      <c r="U19" s="28">
        <v>3686.2024639713591</v>
      </c>
      <c r="V19" s="251"/>
      <c r="W19" s="28">
        <v>3962.1840704189767</v>
      </c>
      <c r="X19" s="143"/>
      <c r="Y19" s="28">
        <v>4058.1907849011677</v>
      </c>
      <c r="Z19" s="78"/>
      <c r="AA19" s="28">
        <v>4224.2812139712496</v>
      </c>
      <c r="AB19" s="16"/>
      <c r="AC19" s="28">
        <v>3878.4799052988169</v>
      </c>
      <c r="AD19" s="16"/>
      <c r="AE19" s="28">
        <v>3775.5681904979856</v>
      </c>
      <c r="AF19" s="143"/>
      <c r="AG19" s="28">
        <v>3789.9558829367252</v>
      </c>
      <c r="AH19" s="16"/>
      <c r="AI19" s="28">
        <v>4143.2536801128281</v>
      </c>
      <c r="AJ19" s="23"/>
      <c r="AK19" s="28">
        <v>3806.850925848411</v>
      </c>
      <c r="AL19" s="16"/>
      <c r="AM19" s="28">
        <v>3933.2844665692464</v>
      </c>
      <c r="AN19" s="16"/>
      <c r="AO19" s="184">
        <v>4495.6306205583551</v>
      </c>
      <c r="AP19" s="16"/>
      <c r="AQ19" s="28">
        <v>4623.5552257588934</v>
      </c>
      <c r="AR19" s="16"/>
      <c r="AS19" s="28">
        <v>4359.7677347526496</v>
      </c>
      <c r="AT19" s="16"/>
      <c r="AU19" s="28">
        <v>4238.0739999999996</v>
      </c>
      <c r="AV19" s="16"/>
      <c r="AW19" s="17"/>
      <c r="AX19" s="24" t="s">
        <v>654</v>
      </c>
      <c r="AY19" s="254"/>
    </row>
    <row r="20" spans="1:52" ht="6" customHeight="1">
      <c r="A20" s="16"/>
      <c r="B20" s="34"/>
      <c r="C20" s="34"/>
      <c r="D20" s="56"/>
      <c r="E20" s="83"/>
      <c r="F20" s="130"/>
      <c r="G20" s="83"/>
      <c r="H20" s="130"/>
      <c r="I20" s="83"/>
      <c r="J20" s="130"/>
      <c r="K20" s="83"/>
      <c r="L20" s="130"/>
      <c r="M20" s="83"/>
      <c r="N20" s="130"/>
      <c r="O20" s="83"/>
      <c r="P20" s="130"/>
      <c r="Q20" s="83"/>
      <c r="R20" s="130"/>
      <c r="S20" s="83"/>
      <c r="T20" s="130"/>
      <c r="U20" s="83"/>
      <c r="V20" s="130"/>
      <c r="W20" s="83"/>
      <c r="X20" s="144"/>
      <c r="Y20" s="83"/>
      <c r="Z20" s="130"/>
      <c r="AA20" s="83"/>
      <c r="AB20" s="70"/>
      <c r="AC20" s="83"/>
      <c r="AD20" s="70"/>
      <c r="AE20" s="83"/>
      <c r="AF20" s="83"/>
      <c r="AG20" s="83"/>
      <c r="AH20" s="70"/>
      <c r="AI20" s="83"/>
      <c r="AJ20" s="70"/>
      <c r="AK20" s="83"/>
      <c r="AL20" s="70"/>
      <c r="AM20" s="83"/>
      <c r="AN20" s="70"/>
      <c r="AO20" s="83"/>
      <c r="AP20" s="70"/>
      <c r="AQ20" s="83"/>
      <c r="AR20" s="70"/>
      <c r="AS20" s="83"/>
      <c r="AT20" s="70"/>
      <c r="AU20" s="83"/>
      <c r="AV20" s="70"/>
      <c r="AW20" s="73"/>
      <c r="AX20" s="56"/>
    </row>
    <row r="21" spans="1:52" ht="6" customHeight="1">
      <c r="A21" s="16"/>
      <c r="B21" s="42"/>
      <c r="C21" s="42"/>
      <c r="D21" s="16"/>
      <c r="E21" s="28"/>
      <c r="G21" s="28"/>
      <c r="I21" s="28"/>
      <c r="K21" s="28"/>
      <c r="M21" s="28"/>
      <c r="O21" s="28"/>
      <c r="Q21" s="28"/>
      <c r="S21" s="28"/>
      <c r="U21" s="28"/>
      <c r="W21" s="28"/>
      <c r="Y21" s="28"/>
      <c r="AA21" s="28"/>
      <c r="AB21" s="16"/>
      <c r="AC21" s="28"/>
      <c r="AD21" s="16"/>
      <c r="AE21" s="28"/>
      <c r="AF21" s="143"/>
      <c r="AG21" s="28"/>
      <c r="AH21" s="16"/>
      <c r="AI21" s="28"/>
      <c r="AJ21" s="16"/>
      <c r="AK21" s="28"/>
      <c r="AL21" s="16"/>
      <c r="AM21" s="28"/>
      <c r="AN21" s="16"/>
      <c r="AO21" s="28"/>
      <c r="AP21" s="16"/>
      <c r="AQ21" s="28"/>
      <c r="AR21" s="16"/>
      <c r="AS21" s="28"/>
      <c r="AT21" s="16"/>
      <c r="AU21" s="28"/>
      <c r="AV21" s="16"/>
      <c r="AW21" s="17"/>
      <c r="AX21" s="16"/>
    </row>
    <row r="22" spans="1:52" ht="10.5" customHeight="1">
      <c r="A22" s="16"/>
      <c r="B22" s="42"/>
      <c r="C22" s="42"/>
      <c r="D22" s="63" t="s">
        <v>657</v>
      </c>
      <c r="E22" s="28"/>
      <c r="G22" s="28"/>
      <c r="I22" s="28"/>
      <c r="K22" s="28"/>
      <c r="M22" s="28"/>
      <c r="O22" s="28"/>
      <c r="Q22" s="28"/>
      <c r="S22" s="28"/>
      <c r="U22" s="28"/>
      <c r="W22" s="28"/>
      <c r="Y22" s="28"/>
      <c r="AA22" s="28"/>
      <c r="AB22" s="16"/>
      <c r="AC22" s="28"/>
      <c r="AD22" s="16"/>
      <c r="AE22" s="28"/>
      <c r="AF22" s="143"/>
      <c r="AG22" s="28"/>
      <c r="AH22" s="16"/>
      <c r="AI22" s="28"/>
      <c r="AJ22" s="16"/>
      <c r="AK22" s="28"/>
      <c r="AL22" s="16"/>
      <c r="AM22" s="28"/>
      <c r="AN22" s="16"/>
      <c r="AO22" s="28"/>
      <c r="AP22" s="16"/>
      <c r="AQ22" s="28"/>
      <c r="AR22" s="16"/>
      <c r="AS22" s="28"/>
      <c r="AT22" s="16"/>
      <c r="AU22" s="28"/>
      <c r="AV22" s="16"/>
      <c r="AW22" s="17"/>
      <c r="AX22" s="63" t="s">
        <v>658</v>
      </c>
    </row>
    <row r="23" spans="1:52" ht="11.25" customHeight="1">
      <c r="A23" s="16"/>
      <c r="B23" s="42">
        <v>9</v>
      </c>
      <c r="C23" s="42"/>
      <c r="D23" s="16" t="s">
        <v>659</v>
      </c>
      <c r="E23" s="28">
        <v>486.33449999999999</v>
      </c>
      <c r="G23" s="28">
        <v>463.44200000000001</v>
      </c>
      <c r="I23" s="28">
        <v>454.99844000000002</v>
      </c>
      <c r="K23" s="28">
        <v>456.74343970036301</v>
      </c>
      <c r="M23" s="28">
        <v>480.30773077053402</v>
      </c>
      <c r="O23" s="28">
        <v>526.52219966567998</v>
      </c>
      <c r="Q23" s="28">
        <v>575.05326559015668</v>
      </c>
      <c r="S23" s="28">
        <v>637.12199364560456</v>
      </c>
      <c r="T23" s="28"/>
      <c r="U23" s="28">
        <v>677.86169568212301</v>
      </c>
      <c r="V23" s="184"/>
      <c r="W23" s="28">
        <v>856.15774999999996</v>
      </c>
      <c r="X23" s="28"/>
      <c r="Y23" s="28">
        <v>848.95253511215071</v>
      </c>
      <c r="Z23" s="28"/>
      <c r="AA23" s="28">
        <v>787.82042267455574</v>
      </c>
      <c r="AB23" s="16"/>
      <c r="AC23" s="28">
        <v>761.41847878104522</v>
      </c>
      <c r="AD23" s="16"/>
      <c r="AE23" s="28">
        <v>727.83058086346068</v>
      </c>
      <c r="AF23" s="143"/>
      <c r="AG23" s="28">
        <v>729.85911770619066</v>
      </c>
      <c r="AH23" s="16"/>
      <c r="AI23" s="28">
        <v>685.53976930675196</v>
      </c>
      <c r="AJ23" s="16"/>
      <c r="AK23" s="28">
        <v>626.06048067553206</v>
      </c>
      <c r="AL23" s="16"/>
      <c r="AM23" s="28">
        <v>657.39208852729314</v>
      </c>
      <c r="AN23" s="16"/>
      <c r="AO23" s="184">
        <v>721.07562793585589</v>
      </c>
      <c r="AP23" s="78"/>
      <c r="AQ23" s="28">
        <v>726.80866615903699</v>
      </c>
      <c r="AR23" s="16"/>
      <c r="AS23" s="28">
        <v>740.79193219631168</v>
      </c>
      <c r="AT23" s="16"/>
      <c r="AU23" s="28">
        <v>742.28972497295501</v>
      </c>
      <c r="AV23" s="16"/>
      <c r="AW23" s="17"/>
      <c r="AX23" s="16" t="s">
        <v>667</v>
      </c>
    </row>
    <row r="24" spans="1:52" ht="11.25" customHeight="1">
      <c r="A24" s="16"/>
      <c r="B24" s="42">
        <v>10</v>
      </c>
      <c r="C24" s="42"/>
      <c r="D24" s="24" t="s">
        <v>660</v>
      </c>
      <c r="E24" s="28">
        <v>60.346428229952842</v>
      </c>
      <c r="G24" s="28">
        <v>57.246214197245827</v>
      </c>
      <c r="I24" s="28">
        <v>58.866562267773922</v>
      </c>
      <c r="K24" s="28">
        <v>58.078288591888828</v>
      </c>
      <c r="M24" s="28">
        <v>57.619909544510605</v>
      </c>
      <c r="O24" s="28">
        <v>60.221360061743233</v>
      </c>
      <c r="Q24" s="28">
        <v>58.562577719569283</v>
      </c>
      <c r="S24" s="28">
        <v>60.366589624576385</v>
      </c>
      <c r="T24" s="28"/>
      <c r="U24" s="28">
        <v>61.512953110365366</v>
      </c>
      <c r="V24" s="251"/>
      <c r="W24" s="28">
        <v>62.357240823901904</v>
      </c>
      <c r="X24" s="143"/>
      <c r="Y24" s="28">
        <v>63.24688101750251</v>
      </c>
      <c r="Z24" s="78"/>
      <c r="AA24" s="28">
        <v>61.72355545487315</v>
      </c>
      <c r="AB24" s="16"/>
      <c r="AC24" s="28">
        <v>59.13998964821463</v>
      </c>
      <c r="AD24" s="16"/>
      <c r="AE24" s="28">
        <v>59.617939815262623</v>
      </c>
      <c r="AF24" s="143"/>
      <c r="AG24" s="28">
        <v>58.996005590522451</v>
      </c>
      <c r="AH24" s="16"/>
      <c r="AI24" s="28">
        <v>60.049630337248097</v>
      </c>
      <c r="AJ24" s="16"/>
      <c r="AK24" s="28">
        <v>62.098229316390515</v>
      </c>
      <c r="AL24" s="16"/>
      <c r="AM24" s="28">
        <v>60.013302558016001</v>
      </c>
      <c r="AN24" s="16"/>
      <c r="AO24" s="184">
        <v>60.859185949962622</v>
      </c>
      <c r="AP24" s="78"/>
      <c r="AQ24" s="28">
        <v>57.598461485704448</v>
      </c>
      <c r="AR24" s="16"/>
      <c r="AS24" s="28">
        <v>61.182691466952221</v>
      </c>
      <c r="AT24" s="16"/>
      <c r="AU24" s="28">
        <v>59.7303218676238</v>
      </c>
      <c r="AV24" s="16"/>
      <c r="AW24" s="17"/>
      <c r="AX24" s="24" t="s">
        <v>661</v>
      </c>
    </row>
    <row r="25" spans="1:52" ht="11.25" customHeight="1">
      <c r="A25" s="16"/>
      <c r="B25" s="42">
        <v>11</v>
      </c>
      <c r="C25" s="42"/>
      <c r="D25" s="16" t="s">
        <v>664</v>
      </c>
      <c r="E25" s="28">
        <v>45.07</v>
      </c>
      <c r="G25" s="28">
        <v>43.527999999999999</v>
      </c>
      <c r="I25" s="28">
        <v>48.382249999999999</v>
      </c>
      <c r="K25" s="28">
        <v>61.321749360734643</v>
      </c>
      <c r="M25" s="28">
        <v>62.013004874947555</v>
      </c>
      <c r="O25" s="28">
        <v>66.971079512810178</v>
      </c>
      <c r="Q25" s="28">
        <v>101.04840306563116</v>
      </c>
      <c r="S25" s="28">
        <v>105.50572964699751</v>
      </c>
      <c r="T25" s="28"/>
      <c r="U25" s="28">
        <v>110.65225898924115</v>
      </c>
      <c r="V25" s="251"/>
      <c r="W25" s="28">
        <v>127.90900000000001</v>
      </c>
      <c r="X25" s="143"/>
      <c r="Y25" s="28">
        <v>161.72302960235174</v>
      </c>
      <c r="Z25" s="78"/>
      <c r="AA25" s="28">
        <v>167.20187889354079</v>
      </c>
      <c r="AB25" s="16"/>
      <c r="AC25" s="28">
        <v>151.29474448596667</v>
      </c>
      <c r="AD25" s="16"/>
      <c r="AE25" s="28">
        <v>162.22396501627264</v>
      </c>
      <c r="AF25" s="143"/>
      <c r="AG25" s="28">
        <v>151.8709961455553</v>
      </c>
      <c r="AH25" s="16"/>
      <c r="AI25" s="28">
        <v>164.90032378048801</v>
      </c>
      <c r="AJ25" s="16"/>
      <c r="AK25" s="28">
        <v>171.64735235310818</v>
      </c>
      <c r="AL25" s="16"/>
      <c r="AM25" s="28">
        <v>163.84292997983465</v>
      </c>
      <c r="AN25" s="16"/>
      <c r="AO25" s="184">
        <v>187.0021425293512</v>
      </c>
      <c r="AP25" s="78"/>
      <c r="AQ25" s="28">
        <v>208.59200813603891</v>
      </c>
      <c r="AR25" s="16"/>
      <c r="AS25" s="28">
        <v>142.32139011035608</v>
      </c>
      <c r="AT25" s="16"/>
      <c r="AU25" s="28">
        <v>148.2972</v>
      </c>
      <c r="AV25" s="16"/>
      <c r="AW25" s="17"/>
      <c r="AX25" s="24" t="s">
        <v>666</v>
      </c>
    </row>
    <row r="26" spans="1:52" ht="11.25" customHeight="1">
      <c r="A26" s="16"/>
      <c r="B26" s="42">
        <v>12</v>
      </c>
      <c r="C26" s="42"/>
      <c r="D26" s="24" t="s">
        <v>660</v>
      </c>
      <c r="E26" s="28">
        <v>88.542267583758587</v>
      </c>
      <c r="G26" s="28">
        <v>86.787814739937502</v>
      </c>
      <c r="I26" s="28">
        <v>87.76617457848694</v>
      </c>
      <c r="K26" s="28">
        <v>87.440019111829642</v>
      </c>
      <c r="M26" s="28">
        <v>86.225794486584391</v>
      </c>
      <c r="O26" s="28">
        <v>89.379893452905222</v>
      </c>
      <c r="P26" s="78"/>
      <c r="Q26" s="28">
        <v>84.411431034917953</v>
      </c>
      <c r="S26" s="28">
        <v>83.961901898629748</v>
      </c>
      <c r="U26" s="28">
        <v>84.411248750195242</v>
      </c>
      <c r="V26" s="251"/>
      <c r="W26" s="28">
        <v>83.670421940598388</v>
      </c>
      <c r="X26" s="78"/>
      <c r="Y26" s="28">
        <v>88.7058401460326</v>
      </c>
      <c r="Z26" s="78"/>
      <c r="AA26" s="28">
        <v>87.419083121320028</v>
      </c>
      <c r="AB26" s="16"/>
      <c r="AC26" s="28">
        <v>90.559050536294947</v>
      </c>
      <c r="AD26" s="16"/>
      <c r="AE26" s="28">
        <v>85.749884442154752</v>
      </c>
      <c r="AF26" s="143"/>
      <c r="AG26" s="28">
        <v>91.485536851548176</v>
      </c>
      <c r="AH26" s="16"/>
      <c r="AI26" s="28">
        <v>87.075380680726198</v>
      </c>
      <c r="AJ26" s="16"/>
      <c r="AK26" s="28">
        <v>85.186309342674349</v>
      </c>
      <c r="AL26" s="16"/>
      <c r="AM26" s="28">
        <v>87.19604702790582</v>
      </c>
      <c r="AN26" s="16"/>
      <c r="AO26" s="184">
        <v>87.757206074509639</v>
      </c>
      <c r="AP26" s="78"/>
      <c r="AQ26" s="28">
        <v>88.363900466598039</v>
      </c>
      <c r="AR26" s="16"/>
      <c r="AS26" s="28">
        <v>93.162424053991089</v>
      </c>
      <c r="AT26" s="16"/>
      <c r="AU26" s="28">
        <v>88.356229828435502</v>
      </c>
      <c r="AV26" s="16"/>
      <c r="AW26" s="17"/>
      <c r="AX26" s="24" t="s">
        <v>661</v>
      </c>
      <c r="AZ26" s="82"/>
    </row>
    <row r="27" spans="1:52" ht="4.5" customHeight="1">
      <c r="A27" s="2"/>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row>
    <row r="28" spans="1:52" ht="4.5" customHeight="1">
      <c r="A28" s="2"/>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row>
    <row r="29" spans="1:52" ht="6" customHeight="1">
      <c r="A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2" ht="66.75" customHeight="1">
      <c r="B30" s="539" t="s">
        <v>1143</v>
      </c>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539"/>
      <c r="AM30" s="539"/>
      <c r="AN30" s="539"/>
      <c r="AO30" s="539"/>
      <c r="AP30" s="539"/>
      <c r="AQ30" s="539"/>
      <c r="AR30" s="539"/>
      <c r="AS30" s="539"/>
      <c r="AT30" s="539"/>
      <c r="AU30" s="539"/>
      <c r="AV30" s="539"/>
      <c r="AW30" s="539"/>
      <c r="AX30" s="539"/>
      <c r="AY30" s="377"/>
      <c r="AZ30" s="377"/>
    </row>
    <row r="31" spans="1:52" ht="22.5" customHeight="1">
      <c r="B31" s="543" t="s">
        <v>1209</v>
      </c>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4"/>
      <c r="AM31" s="544"/>
      <c r="AN31" s="544"/>
      <c r="AO31" s="544"/>
      <c r="AP31" s="544"/>
      <c r="AQ31" s="544"/>
      <c r="AR31" s="544"/>
      <c r="AS31" s="544"/>
      <c r="AT31" s="544"/>
      <c r="AU31" s="544"/>
      <c r="AV31" s="544"/>
      <c r="AW31" s="544"/>
      <c r="AX31" s="544"/>
    </row>
  </sheetData>
  <mergeCells count="47">
    <mergeCell ref="AQ5:AQ6"/>
    <mergeCell ref="AR5:AR6"/>
    <mergeCell ref="AU5:AU6"/>
    <mergeCell ref="AS5:AS6"/>
    <mergeCell ref="AT5:AT6"/>
    <mergeCell ref="X5:X6"/>
    <mergeCell ref="Y5:Y6"/>
    <mergeCell ref="Z5:Z6"/>
    <mergeCell ref="AO5:AO6"/>
    <mergeCell ref="AP5:AP6"/>
    <mergeCell ref="AA5:AA6"/>
    <mergeCell ref="AB5:AB6"/>
    <mergeCell ref="AC5:AC6"/>
    <mergeCell ref="AD5:AD6"/>
    <mergeCell ref="AL5:AL6"/>
    <mergeCell ref="AM5:AM6"/>
    <mergeCell ref="E5:E6"/>
    <mergeCell ref="F5:F6"/>
    <mergeCell ref="G5:G6"/>
    <mergeCell ref="H5:H6"/>
    <mergeCell ref="I5:I6"/>
    <mergeCell ref="J5:J6"/>
    <mergeCell ref="K5:K6"/>
    <mergeCell ref="L5:L6"/>
    <mergeCell ref="M5:M6"/>
    <mergeCell ref="N5:N6"/>
    <mergeCell ref="Q5:Q6"/>
    <mergeCell ref="R5:R6"/>
    <mergeCell ref="S5:S6"/>
    <mergeCell ref="T5:T6"/>
    <mergeCell ref="U5:U6"/>
    <mergeCell ref="V5:V6"/>
    <mergeCell ref="W5:W6"/>
    <mergeCell ref="AX5:AX6"/>
    <mergeCell ref="B31:AX31"/>
    <mergeCell ref="B30:AX30"/>
    <mergeCell ref="AK5:AK6"/>
    <mergeCell ref="B5:D6"/>
    <mergeCell ref="AN5:AN6"/>
    <mergeCell ref="AE5:AE6"/>
    <mergeCell ref="AF5:AF6"/>
    <mergeCell ref="AG5:AG6"/>
    <mergeCell ref="AH5:AH6"/>
    <mergeCell ref="AI5:AI6"/>
    <mergeCell ref="O5:O6"/>
    <mergeCell ref="P5:P6"/>
    <mergeCell ref="AJ5:AJ6"/>
  </mergeCells>
  <printOptions horizontalCentered="1"/>
  <pageMargins left="0" right="0" top="0" bottom="0" header="0" footer="0"/>
  <pageSetup paperSize="9" orientation="landscape"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V71"/>
  <sheetViews>
    <sheetView workbookViewId="0"/>
  </sheetViews>
  <sheetFormatPr defaultColWidth="9.109375" defaultRowHeight="13.8" outlineLevelCol="1"/>
  <cols>
    <col min="1" max="1" width="1.33203125" style="11" customWidth="1"/>
    <col min="2" max="2" width="4.33203125" style="11" customWidth="1"/>
    <col min="3" max="3" width="0.88671875" style="11" customWidth="1"/>
    <col min="4" max="4" width="48.44140625" style="11" customWidth="1"/>
    <col min="5" max="5" width="5.6640625" style="11" hidden="1" customWidth="1" outlineLevel="1"/>
    <col min="6" max="6" width="1.33203125" style="11" hidden="1" customWidth="1" outlineLevel="1"/>
    <col min="7" max="7" width="5.6640625" style="11" hidden="1" customWidth="1" outlineLevel="1"/>
    <col min="8" max="8" width="1.33203125" style="11" hidden="1" customWidth="1" outlineLevel="1"/>
    <col min="9" max="9" width="5.6640625" style="11" hidden="1" customWidth="1" outlineLevel="1"/>
    <col min="10" max="10" width="1.33203125" style="11" hidden="1" customWidth="1" outlineLevel="1"/>
    <col min="11" max="11" width="5.6640625" style="11" hidden="1" customWidth="1" outlineLevel="1"/>
    <col min="12" max="12" width="1.33203125" style="11" hidden="1" customWidth="1" outlineLevel="1"/>
    <col min="13" max="13" width="5.6640625" style="11" hidden="1" customWidth="1" outlineLevel="1"/>
    <col min="14" max="14" width="1.33203125" style="11" hidden="1" customWidth="1" outlineLevel="1"/>
    <col min="15" max="15" width="5.6640625" style="11" hidden="1" customWidth="1" outlineLevel="1"/>
    <col min="16" max="16" width="1.33203125" style="11" hidden="1" customWidth="1" outlineLevel="1"/>
    <col min="17" max="17" width="5.6640625" style="11" hidden="1" customWidth="1" outlineLevel="1"/>
    <col min="18" max="18" width="1.33203125" style="11" hidden="1" customWidth="1" outlineLevel="1"/>
    <col min="19" max="19" width="6.6640625" style="11" hidden="1" customWidth="1" outlineLevel="1"/>
    <col min="20" max="20" width="1.33203125" style="11" hidden="1" customWidth="1" outlineLevel="1"/>
    <col min="21" max="21" width="6.6640625" style="11" hidden="1" customWidth="1" outlineLevel="1"/>
    <col min="22" max="22" width="1.33203125" style="11" hidden="1" customWidth="1" outlineLevel="1"/>
    <col min="23" max="23" width="6.6640625" style="11" hidden="1" customWidth="1" outlineLevel="1"/>
    <col min="24" max="24" width="1.33203125" style="11" hidden="1" customWidth="1" outlineLevel="1"/>
    <col min="25" max="25" width="6.6640625" style="11" hidden="1" customWidth="1" outlineLevel="1"/>
    <col min="26" max="26" width="1.33203125" style="11" hidden="1" customWidth="1" outlineLevel="1"/>
    <col min="27" max="27" width="6.6640625" style="11" hidden="1" customWidth="1" outlineLevel="1"/>
    <col min="28" max="28" width="1.33203125" style="11" hidden="1" customWidth="1" outlineLevel="1"/>
    <col min="29" max="29" width="6.6640625" style="11" hidden="1" customWidth="1" outlineLevel="1"/>
    <col min="30" max="30" width="1.33203125" style="11" hidden="1" customWidth="1" outlineLevel="1"/>
    <col min="31" max="31" width="6.6640625" style="11" hidden="1" customWidth="1" outlineLevel="1"/>
    <col min="32" max="32" width="1.33203125" style="11" hidden="1" customWidth="1" outlineLevel="1"/>
    <col min="33" max="33" width="6.6640625" style="11" hidden="1" customWidth="1" outlineLevel="1"/>
    <col min="34" max="34" width="1.33203125" style="11" hidden="1" customWidth="1" outlineLevel="1"/>
    <col min="35" max="35" width="6.6640625" style="11" hidden="1" customWidth="1" outlineLevel="1"/>
    <col min="36" max="36" width="1.33203125" style="11" hidden="1" customWidth="1" outlineLevel="1"/>
    <col min="37" max="37" width="6.6640625" style="11" customWidth="1" collapsed="1"/>
    <col min="38" max="38" width="1.33203125" style="11" customWidth="1"/>
    <col min="39" max="39" width="6.6640625" style="11" customWidth="1"/>
    <col min="40" max="40" width="1.33203125" style="11" customWidth="1"/>
    <col min="41" max="41" width="6.6640625" style="11" customWidth="1"/>
    <col min="42" max="42" width="2" style="11" customWidth="1"/>
    <col min="43" max="43" width="6.6640625" style="11" customWidth="1"/>
    <col min="44" max="44" width="1.33203125" style="11" customWidth="1"/>
    <col min="45" max="45" width="6.6640625" style="11" customWidth="1"/>
    <col min="46" max="46" width="1.33203125" style="11" customWidth="1"/>
    <col min="47" max="47" width="6.6640625" style="11" customWidth="1"/>
    <col min="48" max="48" width="1.33203125" style="11" customWidth="1"/>
    <col min="49" max="16384" width="9.109375" style="11"/>
  </cols>
  <sheetData>
    <row r="1" spans="2:48">
      <c r="B1" s="10" t="s">
        <v>1228</v>
      </c>
      <c r="C1" s="10"/>
      <c r="D1" s="10"/>
      <c r="E1" s="10"/>
      <c r="F1" s="10"/>
      <c r="G1" s="10"/>
      <c r="H1" s="10"/>
      <c r="I1" s="10"/>
      <c r="J1" s="10"/>
      <c r="K1" s="10"/>
      <c r="L1" s="10"/>
      <c r="M1" s="10"/>
      <c r="N1" s="10"/>
      <c r="O1" s="10"/>
      <c r="P1" s="10"/>
      <c r="Q1" s="10"/>
      <c r="R1" s="10"/>
      <c r="S1" s="1"/>
    </row>
    <row r="2" spans="2:48">
      <c r="B2" s="156" t="s">
        <v>1229</v>
      </c>
      <c r="C2" s="10"/>
      <c r="D2" s="10"/>
      <c r="E2" s="10"/>
      <c r="F2" s="10"/>
      <c r="G2" s="10"/>
      <c r="H2" s="10"/>
      <c r="I2" s="10"/>
      <c r="J2" s="10"/>
      <c r="K2" s="10"/>
      <c r="L2" s="10"/>
      <c r="M2" s="10"/>
      <c r="N2" s="10"/>
      <c r="O2" s="10"/>
      <c r="P2" s="10"/>
      <c r="Q2" s="10"/>
      <c r="R2" s="10"/>
      <c r="S2" s="1"/>
    </row>
    <row r="3" spans="2:48" ht="5.25" customHeight="1">
      <c r="B3" s="4"/>
      <c r="C3" s="4"/>
      <c r="D3" s="4"/>
      <c r="E3" s="4"/>
      <c r="F3" s="4"/>
      <c r="G3" s="4"/>
      <c r="H3" s="4"/>
      <c r="I3" s="4"/>
      <c r="J3" s="4"/>
      <c r="K3" s="4"/>
      <c r="L3" s="4"/>
      <c r="M3" s="4"/>
      <c r="N3" s="4"/>
      <c r="O3" s="4"/>
      <c r="P3" s="4"/>
      <c r="Q3" s="4"/>
      <c r="R3" s="4"/>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row>
    <row r="4" spans="2:48" ht="15" customHeight="1">
      <c r="B4" s="523"/>
      <c r="C4" s="283"/>
      <c r="D4" s="283" t="s">
        <v>419</v>
      </c>
      <c r="E4" s="545">
        <v>2000</v>
      </c>
      <c r="F4" s="281"/>
      <c r="G4" s="545">
        <v>2001</v>
      </c>
      <c r="H4" s="281"/>
      <c r="I4" s="545">
        <v>2002</v>
      </c>
      <c r="J4" s="281"/>
      <c r="K4" s="545">
        <v>2003</v>
      </c>
      <c r="L4" s="281"/>
      <c r="M4" s="545">
        <v>2004</v>
      </c>
      <c r="N4" s="281"/>
      <c r="O4" s="545">
        <v>2005</v>
      </c>
      <c r="P4" s="281"/>
      <c r="Q4" s="545">
        <v>2006</v>
      </c>
      <c r="R4" s="281"/>
      <c r="S4" s="545">
        <v>2007</v>
      </c>
      <c r="T4" s="281"/>
      <c r="U4" s="545">
        <v>2008</v>
      </c>
      <c r="V4" s="281"/>
      <c r="W4" s="545">
        <v>2009</v>
      </c>
      <c r="X4" s="281"/>
      <c r="Y4" s="545">
        <v>2010</v>
      </c>
      <c r="Z4" s="281"/>
      <c r="AA4" s="545">
        <v>2011</v>
      </c>
      <c r="AB4" s="281"/>
      <c r="AC4" s="545">
        <v>2012</v>
      </c>
      <c r="AD4" s="281"/>
      <c r="AE4" s="545">
        <v>2013</v>
      </c>
      <c r="AF4" s="281"/>
      <c r="AG4" s="545">
        <v>2014</v>
      </c>
      <c r="AH4" s="281"/>
      <c r="AI4" s="545">
        <v>2015</v>
      </c>
      <c r="AJ4" s="281"/>
      <c r="AK4" s="545">
        <v>2016</v>
      </c>
      <c r="AL4" s="281"/>
      <c r="AM4" s="545">
        <v>2017</v>
      </c>
      <c r="AN4" s="281"/>
      <c r="AO4" s="545">
        <v>2018</v>
      </c>
      <c r="AP4" s="281"/>
      <c r="AQ4" s="545">
        <v>2019</v>
      </c>
      <c r="AR4" s="281"/>
      <c r="AS4" s="545">
        <v>2020</v>
      </c>
      <c r="AT4" s="281"/>
      <c r="AU4" s="545">
        <v>2021</v>
      </c>
      <c r="AV4" s="281"/>
    </row>
    <row r="5" spans="2:48" ht="14.25" customHeight="1">
      <c r="B5" s="526"/>
      <c r="C5" s="291"/>
      <c r="D5" s="79" t="s">
        <v>484</v>
      </c>
      <c r="E5" s="546"/>
      <c r="F5" s="290"/>
      <c r="G5" s="546"/>
      <c r="H5" s="290"/>
      <c r="I5" s="546"/>
      <c r="J5" s="290"/>
      <c r="K5" s="546"/>
      <c r="L5" s="290"/>
      <c r="M5" s="546"/>
      <c r="N5" s="290"/>
      <c r="O5" s="546"/>
      <c r="P5" s="290"/>
      <c r="Q5" s="546"/>
      <c r="R5" s="290"/>
      <c r="S5" s="546"/>
      <c r="T5" s="290"/>
      <c r="U5" s="546"/>
      <c r="V5" s="290"/>
      <c r="W5" s="546"/>
      <c r="X5" s="290"/>
      <c r="Y5" s="546"/>
      <c r="Z5" s="290"/>
      <c r="AA5" s="546"/>
      <c r="AB5" s="290"/>
      <c r="AC5" s="546"/>
      <c r="AD5" s="290"/>
      <c r="AE5" s="546"/>
      <c r="AF5" s="290"/>
      <c r="AG5" s="546"/>
      <c r="AH5" s="290"/>
      <c r="AI5" s="546"/>
      <c r="AJ5" s="290"/>
      <c r="AK5" s="546"/>
      <c r="AL5" s="290"/>
      <c r="AM5" s="546"/>
      <c r="AN5" s="290"/>
      <c r="AO5" s="546"/>
      <c r="AP5" s="290"/>
      <c r="AQ5" s="546"/>
      <c r="AR5" s="290"/>
      <c r="AS5" s="546"/>
      <c r="AT5" s="290"/>
      <c r="AU5" s="546"/>
      <c r="AV5" s="290"/>
    </row>
    <row r="6" spans="2:48" ht="6" customHeight="1">
      <c r="B6" s="42"/>
      <c r="C6" s="42"/>
      <c r="D6" s="16"/>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2:48" ht="10.5" customHeight="1">
      <c r="B7" s="42">
        <v>1</v>
      </c>
      <c r="C7" s="42"/>
      <c r="D7" s="16" t="s">
        <v>1446</v>
      </c>
      <c r="E7" s="28">
        <v>0.65700000000000003</v>
      </c>
      <c r="F7" s="17"/>
      <c r="G7" s="28">
        <v>2.0150000000000001</v>
      </c>
      <c r="H7" s="17"/>
      <c r="I7" s="28">
        <v>0.51400000000000001</v>
      </c>
      <c r="J7" s="17"/>
      <c r="K7" s="28">
        <v>0.92600000000000005</v>
      </c>
      <c r="L7" s="17"/>
      <c r="M7" s="28">
        <v>0.51768000000000003</v>
      </c>
      <c r="N7" s="17"/>
      <c r="O7" s="28">
        <v>1.02257</v>
      </c>
      <c r="P7" s="17"/>
      <c r="Q7" s="28">
        <v>0.60424999999999995</v>
      </c>
      <c r="R7" s="17"/>
      <c r="S7" s="75">
        <v>1.0765499999999999</v>
      </c>
      <c r="T7" s="17"/>
      <c r="U7" s="28">
        <v>0.2329</v>
      </c>
      <c r="V7" s="17"/>
      <c r="W7" s="28">
        <v>0.49730000000000002</v>
      </c>
      <c r="X7" s="17"/>
      <c r="Y7" s="28">
        <v>4.1200000000000001E-2</v>
      </c>
      <c r="Z7" s="17"/>
      <c r="AA7" s="75" t="s">
        <v>462</v>
      </c>
      <c r="AB7" s="23"/>
      <c r="AC7" s="28">
        <v>7.5323021778428891E-3</v>
      </c>
      <c r="AD7" s="23"/>
      <c r="AE7" s="28">
        <v>1.1099999999999994E-2</v>
      </c>
      <c r="AF7" s="23"/>
      <c r="AG7" s="28">
        <v>1.0999999999999999E-2</v>
      </c>
      <c r="AH7" s="23"/>
      <c r="AI7" s="28">
        <v>5.7999999999999996E-3</v>
      </c>
      <c r="AJ7" s="23"/>
      <c r="AK7" s="28">
        <v>2E-3</v>
      </c>
      <c r="AL7" s="23"/>
      <c r="AM7" s="28">
        <v>2.8000000000000001E-2</v>
      </c>
      <c r="AN7" s="23"/>
      <c r="AO7" s="75" t="s">
        <v>462</v>
      </c>
      <c r="AP7" s="23"/>
      <c r="AQ7" s="28">
        <v>2.0000000000000001E-4</v>
      </c>
      <c r="AR7" s="23"/>
      <c r="AS7" s="28">
        <v>1.0101999999999999E-3</v>
      </c>
      <c r="AT7" s="23"/>
      <c r="AU7" s="28">
        <v>0</v>
      </c>
      <c r="AV7" s="23"/>
    </row>
    <row r="8" spans="2:48" ht="10.5" customHeight="1">
      <c r="B8" s="42"/>
      <c r="C8" s="42"/>
      <c r="D8" s="53" t="s">
        <v>446</v>
      </c>
      <c r="E8" s="28"/>
      <c r="F8" s="17"/>
      <c r="G8" s="28"/>
      <c r="H8" s="17"/>
      <c r="I8" s="28"/>
      <c r="J8" s="17"/>
      <c r="K8" s="28"/>
      <c r="L8" s="17"/>
      <c r="M8" s="28"/>
      <c r="N8" s="17"/>
      <c r="O8" s="28"/>
      <c r="P8" s="17"/>
      <c r="Q8" s="28"/>
      <c r="R8" s="17"/>
      <c r="S8" s="75"/>
      <c r="T8" s="17"/>
      <c r="U8" s="28"/>
      <c r="V8" s="17"/>
      <c r="X8" s="17"/>
      <c r="Y8" s="28"/>
      <c r="Z8" s="17"/>
      <c r="AA8" s="28"/>
      <c r="AB8" s="23"/>
      <c r="AC8" s="28"/>
      <c r="AD8" s="23"/>
      <c r="AE8" s="28"/>
      <c r="AF8" s="23"/>
      <c r="AG8" s="28"/>
      <c r="AH8" s="23"/>
      <c r="AI8" s="28"/>
      <c r="AJ8" s="23"/>
      <c r="AK8" s="28"/>
      <c r="AL8" s="23"/>
      <c r="AM8" s="28"/>
      <c r="AN8" s="23"/>
      <c r="AO8" s="28"/>
      <c r="AP8" s="23"/>
      <c r="AR8" s="23"/>
      <c r="AT8" s="23"/>
      <c r="AV8" s="23"/>
    </row>
    <row r="9" spans="2:48" ht="10.5" customHeight="1">
      <c r="B9" s="42">
        <v>2</v>
      </c>
      <c r="C9" s="42"/>
      <c r="D9" s="16" t="s">
        <v>447</v>
      </c>
      <c r="E9" s="28">
        <v>632.77700000000004</v>
      </c>
      <c r="F9" s="17"/>
      <c r="G9" s="28">
        <v>630.42200000000003</v>
      </c>
      <c r="H9" s="17"/>
      <c r="I9" s="28">
        <v>681.14800000000002</v>
      </c>
      <c r="J9" s="17"/>
      <c r="K9" s="28">
        <v>862.60500999999999</v>
      </c>
      <c r="L9" s="17"/>
      <c r="M9" s="28">
        <v>954.63480000000004</v>
      </c>
      <c r="N9" s="17"/>
      <c r="O9" s="28">
        <v>886.99317000000008</v>
      </c>
      <c r="P9" s="17"/>
      <c r="Q9" s="28">
        <v>822.00353000000007</v>
      </c>
      <c r="R9" s="17"/>
      <c r="S9" s="75">
        <v>874.11946</v>
      </c>
      <c r="T9" s="17"/>
      <c r="U9" s="28">
        <v>766.6075078000008</v>
      </c>
      <c r="V9" s="17"/>
      <c r="W9" s="28">
        <v>629.77040000000011</v>
      </c>
      <c r="X9" s="17"/>
      <c r="Y9" s="28">
        <v>773.78835000000038</v>
      </c>
      <c r="Z9" s="17"/>
      <c r="AA9" s="28">
        <v>846.61024111068457</v>
      </c>
      <c r="AB9" s="23"/>
      <c r="AC9" s="28">
        <v>747.04331900040461</v>
      </c>
      <c r="AD9" s="23"/>
      <c r="AE9" s="28">
        <v>791.91564814157493</v>
      </c>
      <c r="AF9" s="23"/>
      <c r="AG9" s="28">
        <v>787.66840499999989</v>
      </c>
      <c r="AH9" s="23"/>
      <c r="AI9" s="28">
        <v>917.72890166666582</v>
      </c>
      <c r="AJ9" s="23"/>
      <c r="AK9" s="28">
        <v>955.64827606713288</v>
      </c>
      <c r="AL9" s="23"/>
      <c r="AM9" s="28">
        <v>1021.1885949999996</v>
      </c>
      <c r="AN9" s="23"/>
      <c r="AO9" s="28">
        <v>1129.7277880832951</v>
      </c>
      <c r="AP9" s="23"/>
      <c r="AQ9" s="28">
        <v>1242.6626269999999</v>
      </c>
      <c r="AR9" s="23"/>
      <c r="AS9" s="28">
        <v>1142.6525569357332</v>
      </c>
      <c r="AT9" s="23"/>
      <c r="AU9" s="28">
        <v>1201.2079031599999</v>
      </c>
      <c r="AV9" s="23"/>
    </row>
    <row r="10" spans="2:48" ht="10.5" customHeight="1">
      <c r="B10" s="42"/>
      <c r="C10" s="42"/>
      <c r="D10" s="53" t="s">
        <v>448</v>
      </c>
      <c r="E10" s="28"/>
      <c r="F10" s="17"/>
      <c r="G10" s="28"/>
      <c r="H10" s="17"/>
      <c r="I10" s="28"/>
      <c r="J10" s="17"/>
      <c r="K10" s="28"/>
      <c r="L10" s="17"/>
      <c r="M10" s="28"/>
      <c r="N10" s="17"/>
      <c r="O10" s="28"/>
      <c r="P10" s="17"/>
      <c r="Q10" s="28"/>
      <c r="R10" s="17"/>
      <c r="S10" s="75"/>
      <c r="T10" s="17"/>
      <c r="U10" s="28"/>
      <c r="V10" s="17"/>
      <c r="X10" s="17"/>
      <c r="Y10" s="28"/>
      <c r="Z10" s="17"/>
      <c r="AA10" s="28"/>
      <c r="AB10" s="23"/>
      <c r="AC10" s="28"/>
      <c r="AD10" s="23"/>
      <c r="AE10" s="28"/>
      <c r="AF10" s="23"/>
      <c r="AG10" s="28"/>
      <c r="AH10" s="23"/>
      <c r="AI10" s="28"/>
      <c r="AJ10" s="23"/>
      <c r="AK10" s="28"/>
      <c r="AL10" s="23"/>
      <c r="AM10" s="28"/>
      <c r="AN10" s="23"/>
      <c r="AO10" s="28"/>
      <c r="AP10" s="23"/>
      <c r="AR10" s="23"/>
      <c r="AT10" s="23"/>
      <c r="AV10" s="23"/>
    </row>
    <row r="11" spans="2:48" ht="10.5" customHeight="1">
      <c r="B11" s="42">
        <v>3</v>
      </c>
      <c r="C11" s="42"/>
      <c r="D11" s="16" t="s">
        <v>449</v>
      </c>
      <c r="E11" s="28">
        <v>421.46800000000002</v>
      </c>
      <c r="F11" s="17"/>
      <c r="G11" s="28">
        <v>416.303</v>
      </c>
      <c r="H11" s="17"/>
      <c r="I11" s="28">
        <v>440.29199999999997</v>
      </c>
      <c r="J11" s="17"/>
      <c r="K11" s="28">
        <v>481.654</v>
      </c>
      <c r="L11" s="17"/>
      <c r="M11" s="28">
        <v>522.15300000000002</v>
      </c>
      <c r="N11" s="17"/>
      <c r="O11" s="28">
        <v>552.1398200000009</v>
      </c>
      <c r="P11" s="17"/>
      <c r="Q11" s="28">
        <v>680.98087000000089</v>
      </c>
      <c r="R11" s="17"/>
      <c r="S11" s="75">
        <v>1117.7457199999999</v>
      </c>
      <c r="T11" s="17"/>
      <c r="U11" s="28">
        <v>1155.0869600000001</v>
      </c>
      <c r="V11" s="17"/>
      <c r="W11" s="28">
        <v>1087.7902000000001</v>
      </c>
      <c r="X11" s="17"/>
      <c r="Y11" s="28">
        <v>1133.16281</v>
      </c>
      <c r="Z11" s="17"/>
      <c r="AA11" s="28">
        <v>1211.0218247732562</v>
      </c>
      <c r="AB11" s="23"/>
      <c r="AC11" s="28">
        <v>1204.5946164438285</v>
      </c>
      <c r="AD11" s="23"/>
      <c r="AE11" s="28">
        <v>1255.2783083006977</v>
      </c>
      <c r="AF11" s="23"/>
      <c r="AG11" s="28">
        <v>1281.0291299999999</v>
      </c>
      <c r="AH11" s="23"/>
      <c r="AI11" s="28">
        <v>1253.7214320000012</v>
      </c>
      <c r="AJ11" s="23"/>
      <c r="AK11" s="28">
        <v>1342.8238820216525</v>
      </c>
      <c r="AL11" s="23"/>
      <c r="AM11" s="28">
        <v>1341.0070652360796</v>
      </c>
      <c r="AN11" s="23"/>
      <c r="AO11" s="28">
        <v>1210.4718795381814</v>
      </c>
      <c r="AP11" s="23"/>
      <c r="AQ11" s="28">
        <v>1143.6151840000002</v>
      </c>
      <c r="AR11" s="23"/>
      <c r="AS11" s="28">
        <v>736.78114832000006</v>
      </c>
      <c r="AT11" s="23"/>
      <c r="AU11" s="28">
        <v>825.17827850000003</v>
      </c>
      <c r="AV11" s="23"/>
    </row>
    <row r="12" spans="2:48" ht="10.5" customHeight="1">
      <c r="B12" s="42"/>
      <c r="C12" s="42"/>
      <c r="D12" s="53" t="s">
        <v>450</v>
      </c>
      <c r="E12" s="28"/>
      <c r="F12" s="17"/>
      <c r="G12" s="28"/>
      <c r="H12" s="17"/>
      <c r="I12" s="28"/>
      <c r="J12" s="17"/>
      <c r="K12" s="28"/>
      <c r="L12" s="17"/>
      <c r="M12" s="28"/>
      <c r="N12" s="17"/>
      <c r="O12" s="28"/>
      <c r="P12" s="17"/>
      <c r="Q12" s="28"/>
      <c r="R12" s="17"/>
      <c r="S12" s="75"/>
      <c r="T12" s="17"/>
      <c r="U12" s="28"/>
      <c r="V12" s="17"/>
      <c r="W12" s="28"/>
      <c r="X12" s="17"/>
      <c r="Y12" s="28"/>
      <c r="Z12" s="17"/>
      <c r="AA12" s="28"/>
      <c r="AB12" s="23"/>
      <c r="AC12" s="28"/>
      <c r="AD12" s="23"/>
      <c r="AE12" s="28"/>
      <c r="AF12" s="23"/>
      <c r="AG12" s="28"/>
      <c r="AH12" s="23"/>
      <c r="AI12" s="28"/>
      <c r="AJ12" s="23"/>
      <c r="AK12" s="28"/>
      <c r="AL12" s="23"/>
      <c r="AM12" s="28"/>
      <c r="AN12" s="23"/>
      <c r="AO12" s="28"/>
      <c r="AP12" s="23"/>
      <c r="AR12" s="23"/>
      <c r="AT12" s="23"/>
      <c r="AV12" s="23"/>
    </row>
    <row r="13" spans="2:48" ht="10.5" customHeight="1">
      <c r="B13" s="42">
        <v>4</v>
      </c>
      <c r="C13" s="42"/>
      <c r="D13" s="16" t="s">
        <v>451</v>
      </c>
      <c r="E13" s="28">
        <v>58.859000000000002</v>
      </c>
      <c r="F13" s="17"/>
      <c r="G13" s="28">
        <v>47.493000000000002</v>
      </c>
      <c r="H13" s="17"/>
      <c r="I13" s="28">
        <v>38.622</v>
      </c>
      <c r="J13" s="17"/>
      <c r="K13" s="28">
        <v>17.928000000000001</v>
      </c>
      <c r="L13" s="17"/>
      <c r="M13" s="28">
        <v>11.318</v>
      </c>
      <c r="N13" s="17"/>
      <c r="O13" s="28">
        <v>29.260840000000002</v>
      </c>
      <c r="P13" s="17"/>
      <c r="Q13" s="28">
        <v>17.591720000000002</v>
      </c>
      <c r="R13" s="17"/>
      <c r="S13" s="75">
        <v>14.743459999999999</v>
      </c>
      <c r="T13" s="17"/>
      <c r="U13" s="28">
        <v>7.7421300000000004</v>
      </c>
      <c r="V13" s="17"/>
      <c r="W13" s="28">
        <v>7.5447999999999986</v>
      </c>
      <c r="X13" s="17"/>
      <c r="Y13" s="28">
        <v>7.7722700000000007</v>
      </c>
      <c r="Z13" s="17"/>
      <c r="AA13" s="28">
        <v>7.9891393332053742</v>
      </c>
      <c r="AB13" s="23"/>
      <c r="AC13" s="28">
        <v>7.3723839579403281</v>
      </c>
      <c r="AD13" s="23"/>
      <c r="AE13" s="28">
        <v>3.4024784424725718</v>
      </c>
      <c r="AF13" s="23"/>
      <c r="AG13" s="28">
        <v>2.8723999999999998</v>
      </c>
      <c r="AH13" s="23"/>
      <c r="AI13" s="28">
        <v>10.290130999999999</v>
      </c>
      <c r="AJ13" s="23"/>
      <c r="AK13" s="28">
        <v>5.8645564011631901</v>
      </c>
      <c r="AL13" s="23"/>
      <c r="AM13" s="28">
        <v>7.0949894267258591</v>
      </c>
      <c r="AN13" s="23"/>
      <c r="AO13" s="28">
        <v>6.6592501260135526</v>
      </c>
      <c r="AP13" s="23"/>
      <c r="AQ13" s="28">
        <v>5.8125800000000005</v>
      </c>
      <c r="AR13" s="23"/>
      <c r="AS13" s="28">
        <v>5.5432661920000008</v>
      </c>
      <c r="AT13" s="23"/>
      <c r="AU13" s="28">
        <v>6.0138179999999997</v>
      </c>
      <c r="AV13" s="23"/>
    </row>
    <row r="14" spans="2:48" ht="10.5" customHeight="1">
      <c r="B14" s="42"/>
      <c r="C14" s="42"/>
      <c r="D14" s="53" t="s">
        <v>452</v>
      </c>
      <c r="E14" s="28"/>
      <c r="F14" s="17"/>
      <c r="G14" s="28"/>
      <c r="H14" s="17"/>
      <c r="I14" s="28"/>
      <c r="J14" s="17"/>
      <c r="K14" s="28"/>
      <c r="L14" s="17"/>
      <c r="M14" s="28"/>
      <c r="N14" s="17"/>
      <c r="O14" s="28"/>
      <c r="P14" s="17"/>
      <c r="Q14" s="28"/>
      <c r="R14" s="17"/>
      <c r="S14" s="75"/>
      <c r="T14" s="17"/>
      <c r="U14" s="28"/>
      <c r="V14" s="17"/>
      <c r="W14" s="28"/>
      <c r="X14" s="17"/>
      <c r="Y14" s="28"/>
      <c r="Z14" s="17"/>
      <c r="AA14" s="28"/>
      <c r="AB14" s="23"/>
      <c r="AC14" s="28"/>
      <c r="AD14" s="23"/>
      <c r="AE14" s="28"/>
      <c r="AF14" s="23"/>
      <c r="AG14" s="28"/>
      <c r="AH14" s="23"/>
      <c r="AI14" s="28"/>
      <c r="AJ14" s="23"/>
      <c r="AK14" s="28"/>
      <c r="AL14" s="23"/>
      <c r="AM14" s="28"/>
      <c r="AN14" s="23"/>
      <c r="AO14" s="28"/>
      <c r="AP14" s="23"/>
      <c r="AR14" s="23"/>
      <c r="AT14" s="23"/>
      <c r="AV14" s="23"/>
    </row>
    <row r="15" spans="2:48" ht="10.5" customHeight="1">
      <c r="B15" s="42">
        <v>5</v>
      </c>
      <c r="C15" s="42"/>
      <c r="D15" s="16" t="s">
        <v>453</v>
      </c>
      <c r="E15" s="28">
        <v>30.954999999999998</v>
      </c>
      <c r="F15" s="17"/>
      <c r="G15" s="28">
        <v>41.19</v>
      </c>
      <c r="H15" s="17"/>
      <c r="I15" s="28">
        <v>29.611999999999998</v>
      </c>
      <c r="J15" s="17"/>
      <c r="K15" s="28">
        <v>79.638999999999996</v>
      </c>
      <c r="L15" s="17"/>
      <c r="M15" s="28">
        <v>132.49299999999999</v>
      </c>
      <c r="N15" s="17"/>
      <c r="O15" s="28">
        <v>104.38095</v>
      </c>
      <c r="P15" s="17"/>
      <c r="Q15" s="28">
        <v>66.160499999999999</v>
      </c>
      <c r="R15" s="17"/>
      <c r="S15" s="75">
        <v>53.064790000000002</v>
      </c>
      <c r="T15" s="17"/>
      <c r="U15" s="28">
        <v>46.357320000000001</v>
      </c>
      <c r="V15" s="17"/>
      <c r="W15" s="28">
        <v>49.642370000000007</v>
      </c>
      <c r="X15" s="17"/>
      <c r="Y15" s="28">
        <v>44.544779999999989</v>
      </c>
      <c r="Z15" s="17"/>
      <c r="AA15" s="28">
        <v>26.071700000000003</v>
      </c>
      <c r="AB15" s="23"/>
      <c r="AC15" s="28">
        <v>9.9726331045680521</v>
      </c>
      <c r="AD15" s="23"/>
      <c r="AE15" s="28">
        <v>5.1357300000000006</v>
      </c>
      <c r="AF15" s="23"/>
      <c r="AG15" s="28">
        <v>3.1349200000000002</v>
      </c>
      <c r="AH15" s="23"/>
      <c r="AI15" s="28">
        <v>0.45299999999999996</v>
      </c>
      <c r="AJ15" s="23"/>
      <c r="AK15" s="28">
        <v>0.1176</v>
      </c>
      <c r="AL15" s="23"/>
      <c r="AM15" s="28">
        <v>1.0699999999999999E-2</v>
      </c>
      <c r="AN15" s="23"/>
      <c r="AO15" s="28">
        <v>2E-3</v>
      </c>
      <c r="AP15" s="23"/>
      <c r="AQ15" s="28">
        <v>1.6E-2</v>
      </c>
      <c r="AR15" s="23"/>
      <c r="AS15" s="28">
        <v>1.3773628</v>
      </c>
      <c r="AT15" s="23"/>
      <c r="AU15" s="28">
        <v>1.520705</v>
      </c>
      <c r="AV15" s="23"/>
    </row>
    <row r="16" spans="2:48" ht="10.5" customHeight="1">
      <c r="B16" s="42"/>
      <c r="C16" s="42"/>
      <c r="D16" s="53" t="s">
        <v>454</v>
      </c>
      <c r="E16" s="28"/>
      <c r="F16" s="17"/>
      <c r="G16" s="28"/>
      <c r="H16" s="17"/>
      <c r="I16" s="28"/>
      <c r="J16" s="17"/>
      <c r="K16" s="28"/>
      <c r="L16" s="17"/>
      <c r="M16" s="28"/>
      <c r="N16" s="17"/>
      <c r="O16" s="28"/>
      <c r="P16" s="17"/>
      <c r="Q16" s="28"/>
      <c r="R16" s="17"/>
      <c r="S16" s="75"/>
      <c r="T16" s="17"/>
      <c r="U16" s="28"/>
      <c r="V16" s="17"/>
      <c r="W16" s="28"/>
      <c r="X16" s="17"/>
      <c r="Y16" s="28"/>
      <c r="Z16" s="17"/>
      <c r="AA16" s="28"/>
      <c r="AB16" s="23"/>
      <c r="AC16" s="28"/>
      <c r="AD16" s="23"/>
      <c r="AE16" s="28"/>
      <c r="AF16" s="23"/>
      <c r="AG16" s="28"/>
      <c r="AH16" s="23"/>
      <c r="AI16" s="28"/>
      <c r="AJ16" s="23"/>
      <c r="AK16" s="28"/>
      <c r="AL16" s="23"/>
      <c r="AM16" s="28"/>
      <c r="AN16" s="23"/>
      <c r="AO16" s="28"/>
      <c r="AP16" s="23"/>
      <c r="AR16" s="23"/>
      <c r="AT16" s="23"/>
      <c r="AV16" s="23"/>
    </row>
    <row r="17" spans="2:48" ht="10.5" customHeight="1">
      <c r="B17" s="42">
        <v>6</v>
      </c>
      <c r="C17" s="42"/>
      <c r="D17" s="16" t="s">
        <v>1447</v>
      </c>
      <c r="E17" s="28">
        <v>225.39099999999999</v>
      </c>
      <c r="F17" s="17"/>
      <c r="G17" s="28">
        <v>180.827</v>
      </c>
      <c r="H17" s="17"/>
      <c r="I17" s="28">
        <v>149.309</v>
      </c>
      <c r="J17" s="17"/>
      <c r="K17" s="28">
        <v>167.22300000000001</v>
      </c>
      <c r="L17" s="17"/>
      <c r="M17" s="28">
        <v>145.91499999999999</v>
      </c>
      <c r="N17" s="17"/>
      <c r="O17" s="28">
        <v>145.19998999999999</v>
      </c>
      <c r="P17" s="17"/>
      <c r="Q17" s="28">
        <v>150.05468999999999</v>
      </c>
      <c r="R17" s="17"/>
      <c r="S17" s="75">
        <v>132.71779000000001</v>
      </c>
      <c r="T17" s="17"/>
      <c r="U17" s="28">
        <v>123.59704999999998</v>
      </c>
      <c r="V17" s="17"/>
      <c r="W17" s="28">
        <v>118.68278000000001</v>
      </c>
      <c r="X17" s="17"/>
      <c r="Y17" s="28">
        <v>109.01932000000001</v>
      </c>
      <c r="Z17" s="17"/>
      <c r="AA17" s="28">
        <v>122.08351299999998</v>
      </c>
      <c r="AB17" s="23"/>
      <c r="AC17" s="28">
        <v>129.5154904846394</v>
      </c>
      <c r="AD17" s="23"/>
      <c r="AE17" s="28">
        <v>101.50904000000001</v>
      </c>
      <c r="AF17" s="23"/>
      <c r="AG17" s="28">
        <v>97.478220000000007</v>
      </c>
      <c r="AH17" s="23"/>
      <c r="AI17" s="28">
        <v>116.82225833333324</v>
      </c>
      <c r="AJ17" s="23"/>
      <c r="AK17" s="28">
        <v>92.147083333333285</v>
      </c>
      <c r="AL17" s="23"/>
      <c r="AM17" s="28">
        <v>72.765294999999981</v>
      </c>
      <c r="AN17" s="23"/>
      <c r="AO17" s="28">
        <v>67.633959999999988</v>
      </c>
      <c r="AP17" s="23"/>
      <c r="AQ17" s="28">
        <v>85.323060000000027</v>
      </c>
      <c r="AR17" s="23"/>
      <c r="AS17" s="28">
        <v>69.311436</v>
      </c>
      <c r="AT17" s="23"/>
      <c r="AU17" s="28">
        <v>77.932730000000006</v>
      </c>
      <c r="AV17" s="23"/>
    </row>
    <row r="18" spans="2:48" ht="10.5" customHeight="1">
      <c r="B18" s="42"/>
      <c r="C18" s="42"/>
      <c r="D18" s="53" t="s">
        <v>455</v>
      </c>
      <c r="E18" s="28"/>
      <c r="F18" s="17"/>
      <c r="G18" s="28"/>
      <c r="H18" s="17"/>
      <c r="I18" s="28"/>
      <c r="J18" s="17"/>
      <c r="K18" s="28"/>
      <c r="L18" s="17"/>
      <c r="M18" s="28"/>
      <c r="N18" s="17"/>
      <c r="O18" s="28"/>
      <c r="P18" s="17"/>
      <c r="Q18" s="28"/>
      <c r="R18" s="17"/>
      <c r="S18" s="75"/>
      <c r="T18" s="17"/>
      <c r="U18" s="28"/>
      <c r="V18" s="17"/>
      <c r="W18" s="28"/>
      <c r="X18" s="17"/>
      <c r="Y18" s="28"/>
      <c r="Z18" s="17"/>
      <c r="AA18" s="28"/>
      <c r="AB18" s="23"/>
      <c r="AC18" s="28"/>
      <c r="AD18" s="23"/>
      <c r="AE18" s="28"/>
      <c r="AF18" s="23"/>
      <c r="AG18" s="28"/>
      <c r="AH18" s="23"/>
      <c r="AI18" s="28"/>
      <c r="AJ18" s="23"/>
      <c r="AK18" s="28"/>
      <c r="AL18" s="23"/>
      <c r="AM18" s="28"/>
      <c r="AN18" s="23"/>
      <c r="AO18" s="28"/>
      <c r="AP18" s="23"/>
      <c r="AR18" s="23"/>
      <c r="AT18" s="23"/>
      <c r="AV18" s="23"/>
    </row>
    <row r="19" spans="2:48" ht="10.5" customHeight="1">
      <c r="B19" s="42">
        <v>7</v>
      </c>
      <c r="C19" s="42"/>
      <c r="D19" s="16" t="s">
        <v>456</v>
      </c>
      <c r="E19" s="28">
        <v>302.173</v>
      </c>
      <c r="F19" s="17"/>
      <c r="G19" s="28">
        <v>329.358</v>
      </c>
      <c r="H19" s="17"/>
      <c r="I19" s="28">
        <v>308.95999999999998</v>
      </c>
      <c r="J19" s="17"/>
      <c r="K19" s="28">
        <v>312.90600000000001</v>
      </c>
      <c r="L19" s="17"/>
      <c r="M19" s="28">
        <v>335.72399999999999</v>
      </c>
      <c r="N19" s="17"/>
      <c r="O19" s="28">
        <v>325.94887000000051</v>
      </c>
      <c r="P19" s="17"/>
      <c r="Q19" s="28">
        <v>355.94585999999998</v>
      </c>
      <c r="R19" s="17"/>
      <c r="S19" s="75">
        <v>364.80437999999998</v>
      </c>
      <c r="T19" s="17"/>
      <c r="U19" s="28">
        <v>361.41190166666661</v>
      </c>
      <c r="V19" s="17"/>
      <c r="W19" s="28">
        <v>308.6590599999999</v>
      </c>
      <c r="X19" s="17"/>
      <c r="Y19" s="28">
        <v>285.05898999999994</v>
      </c>
      <c r="Z19" s="17"/>
      <c r="AA19" s="28">
        <v>421.54750244427379</v>
      </c>
      <c r="AB19" s="23"/>
      <c r="AC19" s="28">
        <v>550.31245960127876</v>
      </c>
      <c r="AD19" s="23"/>
      <c r="AE19" s="28">
        <v>554.56234125662991</v>
      </c>
      <c r="AF19" s="23"/>
      <c r="AG19" s="28">
        <v>488.12297666666666</v>
      </c>
      <c r="AH19" s="23"/>
      <c r="AI19" s="28">
        <v>443.36138449999959</v>
      </c>
      <c r="AJ19" s="23"/>
      <c r="AK19" s="28">
        <v>452.93698464593211</v>
      </c>
      <c r="AL19" s="23"/>
      <c r="AM19" s="28">
        <v>398.93631293968093</v>
      </c>
      <c r="AN19" s="23"/>
      <c r="AO19" s="28">
        <v>594.97235503732099</v>
      </c>
      <c r="AP19" s="23"/>
      <c r="AQ19" s="28">
        <v>424.29339799999991</v>
      </c>
      <c r="AR19" s="23"/>
      <c r="AS19" s="28">
        <v>313.83794384000004</v>
      </c>
      <c r="AT19" s="23"/>
      <c r="AU19" s="28">
        <v>602.67302919999997</v>
      </c>
      <c r="AV19" s="23"/>
    </row>
    <row r="20" spans="2:48" ht="10.5" customHeight="1">
      <c r="B20" s="42"/>
      <c r="C20" s="42"/>
      <c r="D20" s="53" t="s">
        <v>457</v>
      </c>
      <c r="E20" s="28"/>
      <c r="F20" s="17"/>
      <c r="G20" s="28"/>
      <c r="H20" s="17"/>
      <c r="I20" s="28"/>
      <c r="J20" s="17"/>
      <c r="K20" s="28"/>
      <c r="L20" s="17"/>
      <c r="M20" s="28"/>
      <c r="N20" s="17"/>
      <c r="O20" s="28"/>
      <c r="P20" s="17"/>
      <c r="Q20" s="28"/>
      <c r="R20" s="17"/>
      <c r="S20" s="75"/>
      <c r="T20" s="17"/>
      <c r="U20" s="28"/>
      <c r="V20" s="17"/>
      <c r="W20" s="28"/>
      <c r="X20" s="17"/>
      <c r="Y20" s="28"/>
      <c r="Z20" s="17"/>
      <c r="AA20" s="28"/>
      <c r="AB20" s="23"/>
      <c r="AC20" s="28"/>
      <c r="AD20" s="23"/>
      <c r="AE20" s="28"/>
      <c r="AF20" s="23"/>
      <c r="AG20" s="28"/>
      <c r="AH20" s="23"/>
      <c r="AI20" s="28"/>
      <c r="AJ20" s="23"/>
      <c r="AK20" s="28"/>
      <c r="AL20" s="23"/>
      <c r="AM20" s="28"/>
      <c r="AN20" s="23"/>
      <c r="AO20" s="28"/>
      <c r="AP20" s="23"/>
      <c r="AR20" s="23"/>
      <c r="AT20" s="23"/>
      <c r="AV20" s="23"/>
    </row>
    <row r="21" spans="2:48" ht="10.5" customHeight="1">
      <c r="B21" s="42">
        <v>8</v>
      </c>
      <c r="C21" s="42"/>
      <c r="D21" s="16" t="s">
        <v>458</v>
      </c>
      <c r="E21" s="28">
        <v>13.119</v>
      </c>
      <c r="F21" s="17"/>
      <c r="G21" s="28">
        <v>14.21</v>
      </c>
      <c r="H21" s="17"/>
      <c r="I21" s="28">
        <v>19.260999999999999</v>
      </c>
      <c r="J21" s="17"/>
      <c r="K21" s="28">
        <v>16.074999999999999</v>
      </c>
      <c r="L21" s="17"/>
      <c r="M21" s="28">
        <v>18.077999999999999</v>
      </c>
      <c r="N21" s="17"/>
      <c r="O21" s="28">
        <v>21.461580000000001</v>
      </c>
      <c r="P21" s="17"/>
      <c r="Q21" s="28">
        <v>17.204009999999997</v>
      </c>
      <c r="R21" s="17"/>
      <c r="S21" s="75">
        <v>19.37463</v>
      </c>
      <c r="T21" s="17"/>
      <c r="U21" s="28">
        <v>6.3591499999999996</v>
      </c>
      <c r="V21" s="17"/>
      <c r="W21" s="28">
        <v>10.80767</v>
      </c>
      <c r="X21" s="17"/>
      <c r="Y21" s="28">
        <v>9.8403000000000027</v>
      </c>
      <c r="Z21" s="17"/>
      <c r="AA21" s="28">
        <v>29.075440000000008</v>
      </c>
      <c r="AB21" s="23"/>
      <c r="AC21" s="28">
        <v>14.591101833900302</v>
      </c>
      <c r="AD21" s="23"/>
      <c r="AE21" s="28">
        <v>10.35744</v>
      </c>
      <c r="AF21" s="23"/>
      <c r="AG21" s="28">
        <v>13.195259999999996</v>
      </c>
      <c r="AH21" s="23"/>
      <c r="AI21" s="28">
        <v>14.908340000000004</v>
      </c>
      <c r="AJ21" s="23"/>
      <c r="AK21" s="28">
        <v>15.375601588546614</v>
      </c>
      <c r="AL21" s="23"/>
      <c r="AM21" s="28">
        <v>15.699527224021841</v>
      </c>
      <c r="AN21" s="23"/>
      <c r="AO21" s="28">
        <v>14.406218402338178</v>
      </c>
      <c r="AP21" s="23"/>
      <c r="AQ21" s="28">
        <v>13.324250000000001</v>
      </c>
      <c r="AR21" s="23"/>
      <c r="AS21" s="28">
        <v>14.0081598</v>
      </c>
      <c r="AT21" s="23"/>
      <c r="AU21" s="28">
        <v>25.437615999999998</v>
      </c>
      <c r="AV21" s="23"/>
    </row>
    <row r="22" spans="2:48" ht="10.5" customHeight="1">
      <c r="B22" s="42"/>
      <c r="C22" s="42"/>
      <c r="D22" s="53" t="s">
        <v>459</v>
      </c>
      <c r="E22" s="28"/>
      <c r="F22" s="17"/>
      <c r="G22" s="28"/>
      <c r="H22" s="17"/>
      <c r="I22" s="28"/>
      <c r="J22" s="17"/>
      <c r="K22" s="28"/>
      <c r="L22" s="17"/>
      <c r="M22" s="28"/>
      <c r="N22" s="17"/>
      <c r="O22" s="28"/>
      <c r="P22" s="17"/>
      <c r="Q22" s="28"/>
      <c r="R22" s="17"/>
      <c r="S22" s="75"/>
      <c r="T22" s="17"/>
      <c r="U22" s="28"/>
      <c r="V22" s="17"/>
      <c r="W22" s="28"/>
      <c r="X22" s="17"/>
      <c r="Y22" s="28"/>
      <c r="Z22" s="17"/>
      <c r="AA22" s="28"/>
      <c r="AB22" s="23"/>
      <c r="AC22" s="28"/>
      <c r="AD22" s="23"/>
      <c r="AE22" s="28"/>
      <c r="AF22" s="23"/>
      <c r="AG22" s="28"/>
      <c r="AH22" s="23"/>
      <c r="AI22" s="28"/>
      <c r="AJ22" s="23"/>
      <c r="AK22" s="28"/>
      <c r="AL22" s="23"/>
      <c r="AM22" s="28"/>
      <c r="AN22" s="23"/>
      <c r="AO22" s="28"/>
      <c r="AP22" s="23"/>
      <c r="AR22" s="23"/>
      <c r="AT22" s="23"/>
      <c r="AV22" s="23"/>
    </row>
    <row r="23" spans="2:48" ht="10.5" customHeight="1">
      <c r="B23" s="42">
        <v>9</v>
      </c>
      <c r="C23" s="42"/>
      <c r="D23" s="16" t="s">
        <v>460</v>
      </c>
      <c r="E23" s="28">
        <v>48.91</v>
      </c>
      <c r="F23" s="17"/>
      <c r="G23" s="28">
        <v>42.539000000000001</v>
      </c>
      <c r="H23" s="17"/>
      <c r="I23" s="28">
        <v>43.145000000000003</v>
      </c>
      <c r="J23" s="17"/>
      <c r="K23" s="28">
        <v>48.698999999999998</v>
      </c>
      <c r="L23" s="17"/>
      <c r="M23" s="28">
        <v>49.584000000000003</v>
      </c>
      <c r="N23" s="17"/>
      <c r="O23" s="28">
        <v>48.079550000000005</v>
      </c>
      <c r="P23" s="17"/>
      <c r="Q23" s="28">
        <v>40.930330000000005</v>
      </c>
      <c r="R23" s="17"/>
      <c r="S23" s="75">
        <v>45.188459999999999</v>
      </c>
      <c r="T23" s="17"/>
      <c r="U23" s="28">
        <v>38.645362000000013</v>
      </c>
      <c r="V23" s="17"/>
      <c r="W23" s="28">
        <v>40.754469999999984</v>
      </c>
      <c r="X23" s="17"/>
      <c r="Y23" s="28">
        <v>58.947500000000005</v>
      </c>
      <c r="Z23" s="17"/>
      <c r="AA23" s="28">
        <v>75.073822221369156</v>
      </c>
      <c r="AB23" s="23"/>
      <c r="AC23" s="28">
        <v>63.42561555196589</v>
      </c>
      <c r="AD23" s="23"/>
      <c r="AE23" s="28">
        <v>61.193346283150476</v>
      </c>
      <c r="AF23" s="23"/>
      <c r="AG23" s="28">
        <v>66.029861666666662</v>
      </c>
      <c r="AH23" s="23"/>
      <c r="AI23" s="28">
        <v>72.470435000000009</v>
      </c>
      <c r="AJ23" s="23"/>
      <c r="AK23" s="28">
        <v>66.872997733242343</v>
      </c>
      <c r="AL23" s="23"/>
      <c r="AM23" s="28">
        <v>57.713543946887079</v>
      </c>
      <c r="AN23" s="23"/>
      <c r="AO23" s="28">
        <v>53.263963452864481</v>
      </c>
      <c r="AP23" s="23"/>
      <c r="AQ23" s="28">
        <v>54.006930666666669</v>
      </c>
      <c r="AR23" s="23"/>
      <c r="AS23" s="28">
        <v>56.170669453333296</v>
      </c>
      <c r="AT23" s="23"/>
      <c r="AU23" s="28">
        <v>74.269352999999995</v>
      </c>
      <c r="AV23" s="23"/>
    </row>
    <row r="24" spans="2:48" ht="10.5" customHeight="1">
      <c r="B24" s="42"/>
      <c r="C24" s="42"/>
      <c r="D24" s="53" t="s">
        <v>461</v>
      </c>
      <c r="E24" s="28"/>
      <c r="F24" s="17"/>
      <c r="G24" s="28"/>
      <c r="H24" s="17"/>
      <c r="I24" s="28"/>
      <c r="J24" s="17"/>
      <c r="K24" s="28"/>
      <c r="L24" s="17"/>
      <c r="M24" s="28"/>
      <c r="N24" s="17"/>
      <c r="O24" s="28"/>
      <c r="P24" s="17"/>
      <c r="Q24" s="28"/>
      <c r="R24" s="17"/>
      <c r="S24" s="75"/>
      <c r="T24" s="17"/>
      <c r="U24" s="28"/>
      <c r="V24" s="17"/>
      <c r="W24" s="28"/>
      <c r="X24" s="17"/>
      <c r="Y24" s="28"/>
      <c r="Z24" s="17"/>
      <c r="AA24" s="28"/>
      <c r="AB24" s="23"/>
      <c r="AC24" s="28"/>
      <c r="AD24" s="23"/>
      <c r="AE24" s="28"/>
      <c r="AF24" s="23"/>
      <c r="AG24" s="28"/>
      <c r="AH24" s="23"/>
      <c r="AI24" s="28"/>
      <c r="AJ24" s="23"/>
      <c r="AK24" s="28"/>
      <c r="AL24" s="23"/>
      <c r="AM24" s="28"/>
      <c r="AN24" s="23"/>
      <c r="AO24" s="28"/>
      <c r="AP24" s="23"/>
      <c r="AR24" s="23"/>
      <c r="AT24" s="23"/>
      <c r="AV24" s="23"/>
    </row>
    <row r="25" spans="2:48" ht="10.5" customHeight="1">
      <c r="B25" s="42">
        <v>10</v>
      </c>
      <c r="C25" s="42"/>
      <c r="D25" s="16" t="s">
        <v>1448</v>
      </c>
      <c r="E25" s="75" t="s">
        <v>462</v>
      </c>
      <c r="F25" s="75"/>
      <c r="G25" s="75" t="s">
        <v>462</v>
      </c>
      <c r="H25" s="75"/>
      <c r="I25" s="75" t="s">
        <v>462</v>
      </c>
      <c r="J25" s="75"/>
      <c r="K25" s="75" t="s">
        <v>462</v>
      </c>
      <c r="L25" s="75"/>
      <c r="M25" s="75" t="s">
        <v>462</v>
      </c>
      <c r="N25" s="75"/>
      <c r="O25" s="75" t="s">
        <v>462</v>
      </c>
      <c r="P25" s="75"/>
      <c r="Q25" s="75" t="s">
        <v>462</v>
      </c>
      <c r="R25" s="75"/>
      <c r="S25" s="75" t="s">
        <v>462</v>
      </c>
      <c r="T25" s="75"/>
      <c r="U25" s="75" t="s">
        <v>462</v>
      </c>
      <c r="V25" s="75"/>
      <c r="W25" s="75" t="s">
        <v>462</v>
      </c>
      <c r="X25" s="75"/>
      <c r="Y25" s="75" t="s">
        <v>462</v>
      </c>
      <c r="Z25" s="75"/>
      <c r="AA25" s="75" t="s">
        <v>462</v>
      </c>
      <c r="AB25" s="23"/>
      <c r="AC25" s="75" t="s">
        <v>462</v>
      </c>
      <c r="AD25" s="23"/>
      <c r="AE25" s="75" t="s">
        <v>462</v>
      </c>
      <c r="AF25" s="23"/>
      <c r="AG25" s="75" t="s">
        <v>462</v>
      </c>
      <c r="AH25" s="23"/>
      <c r="AI25" s="75" t="s">
        <v>462</v>
      </c>
      <c r="AJ25" s="23"/>
      <c r="AK25" s="75" t="s">
        <v>462</v>
      </c>
      <c r="AL25" s="23"/>
      <c r="AM25" s="75" t="s">
        <v>462</v>
      </c>
      <c r="AN25" s="23"/>
      <c r="AO25" s="75" t="s">
        <v>462</v>
      </c>
      <c r="AP25" s="23"/>
      <c r="AQ25" s="75" t="s">
        <v>462</v>
      </c>
      <c r="AR25" s="23"/>
      <c r="AS25" s="75" t="s">
        <v>462</v>
      </c>
      <c r="AT25" s="23"/>
      <c r="AU25" s="75">
        <v>0</v>
      </c>
      <c r="AV25" s="23"/>
    </row>
    <row r="26" spans="2:48" ht="10.5" customHeight="1">
      <c r="B26" s="42"/>
      <c r="C26" s="42"/>
      <c r="D26" s="53" t="s">
        <v>463</v>
      </c>
      <c r="E26" s="28"/>
      <c r="F26" s="17"/>
      <c r="G26" s="28"/>
      <c r="H26" s="17"/>
      <c r="I26" s="28"/>
      <c r="J26" s="17"/>
      <c r="K26" s="28"/>
      <c r="L26" s="17"/>
      <c r="M26" s="28"/>
      <c r="N26" s="17"/>
      <c r="O26" s="28"/>
      <c r="P26" s="17"/>
      <c r="Q26" s="28"/>
      <c r="R26" s="17"/>
      <c r="S26" s="75"/>
      <c r="T26" s="17"/>
      <c r="U26" s="28"/>
      <c r="V26" s="17"/>
      <c r="W26" s="28"/>
      <c r="X26" s="17"/>
      <c r="Y26" s="28"/>
      <c r="Z26" s="17"/>
      <c r="AA26" s="28"/>
      <c r="AB26" s="23"/>
      <c r="AC26" s="28"/>
      <c r="AD26" s="23"/>
      <c r="AE26" s="28"/>
      <c r="AF26" s="23"/>
      <c r="AG26" s="28"/>
      <c r="AH26" s="23"/>
      <c r="AI26" s="28"/>
      <c r="AJ26" s="23"/>
      <c r="AK26" s="28"/>
      <c r="AL26" s="23"/>
      <c r="AM26" s="28"/>
      <c r="AN26" s="23"/>
      <c r="AO26" s="28"/>
      <c r="AP26" s="23"/>
      <c r="AR26" s="23"/>
      <c r="AT26" s="23"/>
      <c r="AV26" s="23"/>
    </row>
    <row r="27" spans="2:48" ht="10.5" customHeight="1">
      <c r="B27" s="42">
        <v>11</v>
      </c>
      <c r="C27" s="42"/>
      <c r="D27" s="16" t="s">
        <v>464</v>
      </c>
      <c r="E27" s="28">
        <v>0.36699999999999999</v>
      </c>
      <c r="F27" s="17"/>
      <c r="G27" s="28">
        <v>0.73399999999999999</v>
      </c>
      <c r="H27" s="17"/>
      <c r="I27" s="28">
        <v>0.73599999999999999</v>
      </c>
      <c r="J27" s="17"/>
      <c r="K27" s="28">
        <v>0.66700000000000004</v>
      </c>
      <c r="L27" s="17"/>
      <c r="M27" s="28">
        <v>0.65100000000000002</v>
      </c>
      <c r="N27" s="17"/>
      <c r="O27" s="28">
        <v>0.36501</v>
      </c>
      <c r="P27" s="17"/>
      <c r="Q27" s="28">
        <v>0.79964999999999997</v>
      </c>
      <c r="R27" s="17"/>
      <c r="S27" s="75">
        <v>0.91904999999999992</v>
      </c>
      <c r="T27" s="17"/>
      <c r="U27" s="28">
        <v>0.2666</v>
      </c>
      <c r="V27" s="17"/>
      <c r="W27" s="28">
        <v>1.4949100000000004</v>
      </c>
      <c r="X27" s="17"/>
      <c r="Y27" s="28">
        <v>0.63918000000000008</v>
      </c>
      <c r="Z27" s="17"/>
      <c r="AA27" s="28">
        <v>0.5069499999999999</v>
      </c>
      <c r="AB27" s="23"/>
      <c r="AC27" s="28">
        <v>0.7023100000000001</v>
      </c>
      <c r="AD27" s="23"/>
      <c r="AE27" s="28">
        <v>0.33785000000000009</v>
      </c>
      <c r="AF27" s="23"/>
      <c r="AG27" s="28">
        <v>0.44215999999999994</v>
      </c>
      <c r="AH27" s="23"/>
      <c r="AI27" s="28">
        <v>0.41460000000000002</v>
      </c>
      <c r="AJ27" s="23"/>
      <c r="AK27" s="28">
        <v>0.16845000000000002</v>
      </c>
      <c r="AL27" s="23"/>
      <c r="AM27" s="28">
        <v>0.37897999999999998</v>
      </c>
      <c r="AN27" s="23"/>
      <c r="AO27" s="28">
        <v>0.28369</v>
      </c>
      <c r="AP27" s="23"/>
      <c r="AQ27" s="28">
        <v>0.27426</v>
      </c>
      <c r="AR27" s="23"/>
      <c r="AS27" s="75" t="s">
        <v>462</v>
      </c>
      <c r="AT27" s="23"/>
      <c r="AU27" s="75">
        <v>0</v>
      </c>
      <c r="AV27" s="23"/>
    </row>
    <row r="28" spans="2:48" ht="10.5" customHeight="1">
      <c r="B28" s="42"/>
      <c r="C28" s="42"/>
      <c r="D28" s="53" t="s">
        <v>465</v>
      </c>
      <c r="E28" s="28"/>
      <c r="F28" s="17"/>
      <c r="G28" s="28"/>
      <c r="H28" s="17"/>
      <c r="I28" s="28"/>
      <c r="J28" s="17"/>
      <c r="K28" s="28"/>
      <c r="L28" s="17"/>
      <c r="M28" s="28"/>
      <c r="N28" s="17"/>
      <c r="O28" s="28"/>
      <c r="P28" s="17"/>
      <c r="Q28" s="28"/>
      <c r="R28" s="17"/>
      <c r="S28" s="75"/>
      <c r="T28" s="17"/>
      <c r="U28" s="28"/>
      <c r="V28" s="17"/>
      <c r="W28" s="28"/>
      <c r="X28" s="17"/>
      <c r="Y28" s="28"/>
      <c r="Z28" s="17"/>
      <c r="AA28" s="28"/>
      <c r="AB28" s="23"/>
      <c r="AC28" s="28"/>
      <c r="AD28" s="23"/>
      <c r="AE28" s="28"/>
      <c r="AF28" s="23"/>
      <c r="AG28" s="28"/>
      <c r="AH28" s="23"/>
      <c r="AI28" s="28"/>
      <c r="AJ28" s="23"/>
      <c r="AK28" s="28"/>
      <c r="AL28" s="23"/>
      <c r="AM28" s="28"/>
      <c r="AN28" s="23"/>
      <c r="AO28" s="28"/>
      <c r="AP28" s="23"/>
      <c r="AR28" s="23"/>
      <c r="AT28" s="23"/>
      <c r="AV28" s="23"/>
    </row>
    <row r="29" spans="2:48" ht="10.5" customHeight="1">
      <c r="B29" s="42">
        <v>12</v>
      </c>
      <c r="C29" s="42"/>
      <c r="D29" s="16" t="s">
        <v>466</v>
      </c>
      <c r="E29" s="28">
        <v>349.75799999999998</v>
      </c>
      <c r="F29" s="17"/>
      <c r="G29" s="28">
        <v>316.89400000000001</v>
      </c>
      <c r="H29" s="17"/>
      <c r="I29" s="28">
        <v>283.43299999999999</v>
      </c>
      <c r="J29" s="17"/>
      <c r="K29" s="28">
        <v>241.119</v>
      </c>
      <c r="L29" s="17"/>
      <c r="M29" s="28">
        <v>252.352</v>
      </c>
      <c r="N29" s="17"/>
      <c r="O29" s="28">
        <v>268.58884</v>
      </c>
      <c r="P29" s="17"/>
      <c r="Q29" s="28">
        <v>276.54331000000002</v>
      </c>
      <c r="R29" s="17"/>
      <c r="S29" s="75">
        <v>286.70871</v>
      </c>
      <c r="T29" s="17"/>
      <c r="U29" s="28">
        <v>223.91853999999995</v>
      </c>
      <c r="V29" s="17"/>
      <c r="W29" s="28">
        <v>191.62813</v>
      </c>
      <c r="X29" s="17"/>
      <c r="Y29" s="28">
        <v>240.16707</v>
      </c>
      <c r="Z29" s="17"/>
      <c r="AA29" s="28">
        <v>472.90543555495856</v>
      </c>
      <c r="AB29" s="23"/>
      <c r="AC29" s="28">
        <v>503.95117451817367</v>
      </c>
      <c r="AD29" s="23"/>
      <c r="AE29" s="28">
        <v>422.80455939820558</v>
      </c>
      <c r="AF29" s="23"/>
      <c r="AG29" s="28">
        <v>529.93861000000004</v>
      </c>
      <c r="AH29" s="23"/>
      <c r="AI29" s="28">
        <v>543.60482666666667</v>
      </c>
      <c r="AJ29" s="23"/>
      <c r="AK29" s="28">
        <v>594.28235737944112</v>
      </c>
      <c r="AL29" s="23"/>
      <c r="AM29" s="28">
        <v>667.95183000000009</v>
      </c>
      <c r="AN29" s="23"/>
      <c r="AO29" s="28">
        <v>699.5554618633746</v>
      </c>
      <c r="AP29" s="23"/>
      <c r="AQ29" s="28">
        <v>641.92715166666665</v>
      </c>
      <c r="AR29" s="23"/>
      <c r="AS29" s="28">
        <v>633.97179033466693</v>
      </c>
      <c r="AT29" s="23"/>
      <c r="AU29" s="28">
        <v>639.23125115000005</v>
      </c>
      <c r="AV29" s="23"/>
    </row>
    <row r="30" spans="2:48" ht="10.5" customHeight="1">
      <c r="B30" s="42"/>
      <c r="C30" s="42"/>
      <c r="D30" s="53" t="s">
        <v>467</v>
      </c>
      <c r="E30" s="28"/>
      <c r="F30" s="17"/>
      <c r="G30" s="28"/>
      <c r="H30" s="17"/>
      <c r="I30" s="28"/>
      <c r="J30" s="17"/>
      <c r="K30" s="28"/>
      <c r="L30" s="17"/>
      <c r="M30" s="28"/>
      <c r="N30" s="17"/>
      <c r="O30" s="28"/>
      <c r="P30" s="17"/>
      <c r="Q30" s="28"/>
      <c r="R30" s="17"/>
      <c r="S30" s="75"/>
      <c r="T30" s="17"/>
      <c r="U30" s="28"/>
      <c r="V30" s="17"/>
      <c r="W30" s="28"/>
      <c r="X30" s="17"/>
      <c r="Y30" s="28"/>
      <c r="Z30" s="17"/>
      <c r="AA30" s="28"/>
      <c r="AB30" s="23"/>
      <c r="AC30" s="28"/>
      <c r="AD30" s="23"/>
      <c r="AE30" s="28"/>
      <c r="AF30" s="23"/>
      <c r="AG30" s="28"/>
      <c r="AH30" s="23"/>
      <c r="AI30" s="28"/>
      <c r="AJ30" s="23"/>
      <c r="AK30" s="28"/>
      <c r="AL30" s="23"/>
      <c r="AM30" s="28"/>
      <c r="AN30" s="23"/>
      <c r="AO30" s="28"/>
      <c r="AP30" s="23"/>
      <c r="AR30" s="23"/>
      <c r="AT30" s="23"/>
      <c r="AV30" s="23"/>
    </row>
    <row r="31" spans="2:48" ht="10.5" customHeight="1">
      <c r="B31" s="42">
        <v>13</v>
      </c>
      <c r="C31" s="42"/>
      <c r="D31" s="16" t="s">
        <v>1449</v>
      </c>
      <c r="E31" s="28">
        <v>17.151</v>
      </c>
      <c r="F31" s="17"/>
      <c r="G31" s="28">
        <v>16.07</v>
      </c>
      <c r="H31" s="17"/>
      <c r="I31" s="28">
        <v>10.635999999999999</v>
      </c>
      <c r="J31" s="17"/>
      <c r="K31" s="28">
        <v>9.5120000000000005</v>
      </c>
      <c r="L31" s="17"/>
      <c r="M31" s="28">
        <v>11.15</v>
      </c>
      <c r="N31" s="17"/>
      <c r="O31" s="28">
        <v>5.8010000000000002</v>
      </c>
      <c r="P31" s="17"/>
      <c r="Q31" s="28">
        <v>3.7440000000000002</v>
      </c>
      <c r="R31" s="17"/>
      <c r="S31" s="75">
        <v>14.48</v>
      </c>
      <c r="T31" s="17"/>
      <c r="U31" s="28">
        <v>12.617175</v>
      </c>
      <c r="V31" s="17"/>
      <c r="W31" s="28">
        <v>16.735879999999998</v>
      </c>
      <c r="X31" s="17"/>
      <c r="Y31" s="28">
        <v>49.590899999999991</v>
      </c>
      <c r="Z31" s="17"/>
      <c r="AA31" s="28">
        <v>1.7890933320537539</v>
      </c>
      <c r="AB31" s="23"/>
      <c r="AC31" s="28">
        <v>1.6594515794032831</v>
      </c>
      <c r="AD31" s="23"/>
      <c r="AE31" s="28">
        <v>2.8627844247257097</v>
      </c>
      <c r="AF31" s="23"/>
      <c r="AG31" s="28">
        <v>4.6403500000000006</v>
      </c>
      <c r="AH31" s="23"/>
      <c r="AI31" s="28">
        <v>10.62763</v>
      </c>
      <c r="AJ31" s="23"/>
      <c r="AK31" s="28">
        <v>24.146840962008</v>
      </c>
      <c r="AL31" s="23"/>
      <c r="AM31" s="28">
        <v>7.2587930000000007</v>
      </c>
      <c r="AN31" s="23"/>
      <c r="AO31" s="28">
        <v>5.1992791446871562</v>
      </c>
      <c r="AP31" s="23"/>
      <c r="AQ31" s="28">
        <v>4.5635440000000003</v>
      </c>
      <c r="AR31" s="23"/>
      <c r="AS31" s="28">
        <v>51.502512364000005</v>
      </c>
      <c r="AT31" s="23"/>
      <c r="AU31" s="28">
        <v>82.577228055999996</v>
      </c>
      <c r="AV31" s="23"/>
    </row>
    <row r="32" spans="2:48" ht="10.5" customHeight="1">
      <c r="B32" s="42"/>
      <c r="C32" s="42"/>
      <c r="D32" s="53" t="s">
        <v>468</v>
      </c>
      <c r="E32" s="28"/>
      <c r="F32" s="17"/>
      <c r="G32" s="28"/>
      <c r="H32" s="17"/>
      <c r="I32" s="28"/>
      <c r="J32" s="17"/>
      <c r="K32" s="28"/>
      <c r="L32" s="17"/>
      <c r="M32" s="28"/>
      <c r="N32" s="17"/>
      <c r="O32" s="28"/>
      <c r="P32" s="17"/>
      <c r="Q32" s="28"/>
      <c r="R32" s="17"/>
      <c r="S32" s="75"/>
      <c r="T32" s="17"/>
      <c r="U32" s="28"/>
      <c r="V32" s="17"/>
      <c r="W32" s="28"/>
      <c r="X32" s="17"/>
      <c r="Y32" s="28"/>
      <c r="Z32" s="17"/>
      <c r="AA32" s="28"/>
      <c r="AB32" s="23"/>
      <c r="AC32" s="28"/>
      <c r="AD32" s="23"/>
      <c r="AE32" s="28"/>
      <c r="AF32" s="23"/>
      <c r="AG32" s="28"/>
      <c r="AH32" s="23"/>
      <c r="AI32" s="28"/>
      <c r="AJ32" s="23"/>
      <c r="AK32" s="28"/>
      <c r="AL32" s="23"/>
      <c r="AM32" s="28"/>
      <c r="AN32" s="23"/>
      <c r="AO32" s="28"/>
      <c r="AP32" s="23"/>
      <c r="AR32" s="23"/>
      <c r="AT32" s="23"/>
      <c r="AV32" s="23"/>
    </row>
    <row r="33" spans="2:48" ht="10.5" customHeight="1">
      <c r="B33" s="42"/>
      <c r="C33" s="42"/>
      <c r="D33" s="149"/>
      <c r="E33" s="28"/>
      <c r="F33" s="17"/>
      <c r="G33" s="28"/>
      <c r="H33" s="17"/>
      <c r="I33" s="28"/>
      <c r="J33" s="17"/>
      <c r="K33" s="28"/>
      <c r="L33" s="17"/>
      <c r="M33" s="28"/>
      <c r="N33" s="17"/>
      <c r="O33" s="28"/>
      <c r="P33" s="17"/>
      <c r="Q33" s="28"/>
      <c r="R33" s="17"/>
      <c r="S33" s="75"/>
      <c r="T33" s="17"/>
      <c r="U33" s="28"/>
      <c r="V33" s="17"/>
      <c r="W33" s="28"/>
      <c r="X33" s="17"/>
      <c r="Y33" s="28"/>
      <c r="Z33" s="17"/>
      <c r="AA33" s="28"/>
      <c r="AB33" s="23"/>
      <c r="AC33" s="28"/>
      <c r="AD33" s="23"/>
      <c r="AE33" s="28"/>
      <c r="AF33" s="23"/>
      <c r="AG33" s="28"/>
      <c r="AH33" s="23"/>
      <c r="AI33" s="28"/>
      <c r="AJ33" s="23"/>
      <c r="AK33" s="28"/>
      <c r="AL33" s="23"/>
      <c r="AM33" s="28"/>
      <c r="AN33" s="23"/>
      <c r="AO33" s="28"/>
      <c r="AP33" s="23"/>
      <c r="AQ33" s="28"/>
      <c r="AR33" s="23"/>
      <c r="AS33" s="28"/>
      <c r="AT33" s="23"/>
      <c r="AU33" s="28"/>
      <c r="AV33" s="23"/>
    </row>
    <row r="34" spans="2:48" ht="10.5" customHeight="1">
      <c r="B34" s="42">
        <v>14</v>
      </c>
      <c r="C34" s="42"/>
      <c r="D34" s="18" t="s">
        <v>503</v>
      </c>
      <c r="E34" s="65">
        <v>2101.585</v>
      </c>
      <c r="F34" s="66"/>
      <c r="G34" s="65">
        <v>2038.0550000000001</v>
      </c>
      <c r="H34" s="66"/>
      <c r="I34" s="65">
        <v>2005.6679999999999</v>
      </c>
      <c r="J34" s="66"/>
      <c r="K34" s="65">
        <v>2238.9530099999997</v>
      </c>
      <c r="L34" s="66"/>
      <c r="M34" s="65">
        <v>2434.5704799999999</v>
      </c>
      <c r="N34" s="66"/>
      <c r="O34" s="65">
        <v>2389.2421900000013</v>
      </c>
      <c r="P34" s="66"/>
      <c r="Q34" s="65">
        <v>2432.5627200000008</v>
      </c>
      <c r="R34" s="66"/>
      <c r="S34" s="133">
        <v>2924.9429999999998</v>
      </c>
      <c r="T34" s="66"/>
      <c r="U34" s="65">
        <v>2742.8425964666676</v>
      </c>
      <c r="V34" s="66"/>
      <c r="W34" s="65">
        <v>2464.0079700000006</v>
      </c>
      <c r="X34" s="66"/>
      <c r="Y34" s="65">
        <v>2712.5726700000005</v>
      </c>
      <c r="Z34" s="66"/>
      <c r="AA34" s="65">
        <v>3214.6746617698018</v>
      </c>
      <c r="AB34" s="23"/>
      <c r="AC34" s="65">
        <v>3233.1480883782806</v>
      </c>
      <c r="AD34" s="23"/>
      <c r="AE34" s="65">
        <v>3209.370626247457</v>
      </c>
      <c r="AF34" s="23"/>
      <c r="AG34" s="65">
        <v>3274.56329333333</v>
      </c>
      <c r="AH34" s="23"/>
      <c r="AI34" s="65">
        <v>3384.4087391666667</v>
      </c>
      <c r="AJ34" s="23"/>
      <c r="AK34" s="65">
        <v>3550.386630132452</v>
      </c>
      <c r="AL34" s="23"/>
      <c r="AM34" s="65">
        <v>3590.033631773395</v>
      </c>
      <c r="AN34" s="23"/>
      <c r="AO34" s="65">
        <v>3782.1758456480761</v>
      </c>
      <c r="AP34" s="23"/>
      <c r="AQ34" s="65">
        <v>3615.8191853333328</v>
      </c>
      <c r="AR34" s="23"/>
      <c r="AS34" s="65">
        <v>3025.1578562397299</v>
      </c>
      <c r="AT34" s="23"/>
      <c r="AU34" s="65">
        <v>3536.0419120660004</v>
      </c>
      <c r="AV34" s="23"/>
    </row>
    <row r="35" spans="2:48" ht="6" customHeight="1">
      <c r="B35" s="77"/>
      <c r="C35" s="77"/>
      <c r="D35" s="70"/>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row>
    <row r="36" spans="2:48" ht="6" customHeight="1">
      <c r="D36" s="16"/>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row>
    <row r="37" spans="2:48">
      <c r="B37" s="523"/>
      <c r="C37" s="283"/>
      <c r="D37" s="283" t="s">
        <v>433</v>
      </c>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2"/>
      <c r="AD37" s="42"/>
      <c r="AE37" s="42"/>
      <c r="AF37" s="42"/>
      <c r="AG37" s="42"/>
      <c r="AH37" s="42"/>
      <c r="AI37" s="42"/>
      <c r="AJ37" s="42"/>
      <c r="AK37" s="42"/>
      <c r="AL37" s="42"/>
      <c r="AM37" s="497"/>
      <c r="AN37" s="497"/>
      <c r="AO37" s="497"/>
      <c r="AP37" s="497"/>
      <c r="AQ37" s="497"/>
      <c r="AR37" s="497"/>
      <c r="AS37" s="497"/>
      <c r="AT37" s="497"/>
      <c r="AU37" s="497"/>
      <c r="AV37" s="497"/>
    </row>
    <row r="38" spans="2:48">
      <c r="B38" s="528"/>
      <c r="C38" s="289"/>
      <c r="D38" s="283" t="s">
        <v>485</v>
      </c>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2"/>
      <c r="AD38" s="42"/>
      <c r="AE38" s="42"/>
      <c r="AF38" s="42"/>
      <c r="AG38" s="42"/>
      <c r="AH38" s="42"/>
      <c r="AI38" s="42"/>
      <c r="AJ38" s="42"/>
      <c r="AK38" s="42"/>
      <c r="AL38" s="42"/>
      <c r="AM38" s="497"/>
      <c r="AN38" s="497"/>
      <c r="AO38" s="497"/>
      <c r="AP38" s="497"/>
      <c r="AQ38" s="497"/>
      <c r="AR38" s="497"/>
      <c r="AS38" s="497"/>
      <c r="AT38" s="497"/>
      <c r="AU38" s="497"/>
      <c r="AV38" s="497"/>
    </row>
    <row r="39" spans="2:48" ht="6" customHeight="1">
      <c r="B39" s="291"/>
      <c r="C39" s="291"/>
      <c r="D39" s="79"/>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row>
    <row r="40" spans="2:48" ht="6" customHeight="1">
      <c r="B40" s="42"/>
      <c r="C40" s="42"/>
      <c r="D40" s="16"/>
      <c r="F40" s="17"/>
      <c r="H40" s="17"/>
      <c r="J40" s="17"/>
      <c r="L40" s="17"/>
      <c r="N40" s="17"/>
      <c r="P40" s="17"/>
      <c r="R40" s="17"/>
      <c r="S40" s="17"/>
      <c r="T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row>
    <row r="41" spans="2:48" ht="10.5" customHeight="1">
      <c r="B41" s="42">
        <v>15</v>
      </c>
      <c r="C41" s="42"/>
      <c r="D41" s="16" t="s">
        <v>1446</v>
      </c>
      <c r="E41" s="28">
        <v>1</v>
      </c>
      <c r="F41" s="75"/>
      <c r="G41" s="28">
        <v>1.6228589999999998</v>
      </c>
      <c r="H41" s="75"/>
      <c r="I41" s="28">
        <v>0.31129800000000002</v>
      </c>
      <c r="J41" s="75"/>
      <c r="K41" s="28">
        <v>0.46454399999999996</v>
      </c>
      <c r="L41" s="75"/>
      <c r="M41" s="28">
        <v>0.25008199999999997</v>
      </c>
      <c r="N41" s="75"/>
      <c r="O41" s="28">
        <v>0.46603</v>
      </c>
      <c r="P41" s="75"/>
      <c r="Q41" s="28">
        <v>0.30595499999999998</v>
      </c>
      <c r="R41" s="75"/>
      <c r="S41" s="75">
        <v>0.41858986610004184</v>
      </c>
      <c r="T41" s="75"/>
      <c r="U41" s="28">
        <v>9.5194199999999993E-2</v>
      </c>
      <c r="V41" s="75"/>
      <c r="W41" s="28">
        <v>0.11212180000000001</v>
      </c>
      <c r="X41" s="75"/>
      <c r="Y41" s="28">
        <v>1.46E-2</v>
      </c>
      <c r="Z41" s="75"/>
      <c r="AA41" s="75" t="s">
        <v>462</v>
      </c>
      <c r="AB41" s="23"/>
      <c r="AC41" s="28">
        <v>1.320084E-2</v>
      </c>
      <c r="AD41" s="23"/>
      <c r="AE41" s="28">
        <v>1.8779000000000001E-2</v>
      </c>
      <c r="AF41" s="23"/>
      <c r="AG41" s="28">
        <v>1.54E-2</v>
      </c>
      <c r="AH41" s="23"/>
      <c r="AI41" s="28">
        <v>7.7999999999999996E-3</v>
      </c>
      <c r="AJ41" s="75"/>
      <c r="AK41" s="28">
        <v>3.0000000000000001E-3</v>
      </c>
      <c r="AL41" s="75"/>
      <c r="AM41" s="28">
        <v>1.4689024E-2</v>
      </c>
      <c r="AN41" s="75"/>
      <c r="AO41" s="75" t="s">
        <v>462</v>
      </c>
      <c r="AP41" s="75"/>
      <c r="AQ41" s="28">
        <v>1.7575170000000005E-4</v>
      </c>
      <c r="AR41" s="75"/>
      <c r="AS41" s="28">
        <v>1.0059755578000001E-3</v>
      </c>
      <c r="AT41" s="75"/>
      <c r="AU41" s="28">
        <v>0</v>
      </c>
      <c r="AV41" s="75"/>
    </row>
    <row r="42" spans="2:48" ht="10.5" customHeight="1">
      <c r="B42" s="42"/>
      <c r="C42" s="42"/>
      <c r="D42" s="53" t="s">
        <v>446</v>
      </c>
      <c r="E42" s="28"/>
      <c r="F42" s="75"/>
      <c r="G42" s="28"/>
      <c r="H42" s="75"/>
      <c r="I42" s="28"/>
      <c r="J42" s="75"/>
      <c r="K42" s="28"/>
      <c r="L42" s="75"/>
      <c r="M42" s="28"/>
      <c r="N42" s="75"/>
      <c r="O42" s="28"/>
      <c r="P42" s="75"/>
      <c r="Q42" s="28"/>
      <c r="R42" s="75"/>
      <c r="S42" s="75"/>
      <c r="T42" s="75"/>
      <c r="U42" s="28"/>
      <c r="V42" s="75"/>
      <c r="W42" s="28"/>
      <c r="X42" s="75"/>
      <c r="Y42" s="28"/>
      <c r="Z42" s="75"/>
      <c r="AA42" s="28"/>
      <c r="AB42" s="23"/>
      <c r="AC42" s="28"/>
      <c r="AD42" s="23"/>
      <c r="AE42" s="28"/>
      <c r="AF42" s="23"/>
      <c r="AG42" s="28"/>
      <c r="AH42" s="23"/>
      <c r="AI42" s="28"/>
      <c r="AJ42" s="75"/>
      <c r="AK42" s="28"/>
      <c r="AL42" s="75"/>
      <c r="AM42" s="28"/>
      <c r="AN42" s="75"/>
      <c r="AO42" s="28"/>
      <c r="AP42" s="75"/>
      <c r="AR42" s="75"/>
      <c r="AT42" s="75"/>
      <c r="AV42" s="75"/>
    </row>
    <row r="43" spans="2:48" ht="10.5" customHeight="1">
      <c r="B43" s="42">
        <v>16</v>
      </c>
      <c r="C43" s="42"/>
      <c r="D43" s="16" t="s">
        <v>447</v>
      </c>
      <c r="E43" s="28">
        <v>254.017</v>
      </c>
      <c r="F43" s="75"/>
      <c r="G43" s="28">
        <v>237.26300000000001</v>
      </c>
      <c r="H43" s="75"/>
      <c r="I43" s="28">
        <v>252.87652</v>
      </c>
      <c r="J43" s="75"/>
      <c r="K43" s="28">
        <v>297.79557400000004</v>
      </c>
      <c r="L43" s="75"/>
      <c r="M43" s="28">
        <v>327.50411200000002</v>
      </c>
      <c r="N43" s="75"/>
      <c r="O43" s="28">
        <v>321.08691800000003</v>
      </c>
      <c r="P43" s="75"/>
      <c r="Q43" s="28">
        <v>319.91465999999997</v>
      </c>
      <c r="R43" s="75"/>
      <c r="S43" s="75">
        <v>361.15021255129085</v>
      </c>
      <c r="T43" s="75"/>
      <c r="U43" s="28">
        <v>336.49702934999988</v>
      </c>
      <c r="V43" s="75"/>
      <c r="W43" s="28">
        <v>244.24829702000005</v>
      </c>
      <c r="X43" s="75"/>
      <c r="Y43" s="28">
        <v>299.30600631499999</v>
      </c>
      <c r="Z43" s="75"/>
      <c r="AA43" s="28">
        <v>316.09846600620307</v>
      </c>
      <c r="AB43" s="23"/>
      <c r="AC43" s="28">
        <v>278.61042259025038</v>
      </c>
      <c r="AD43" s="23"/>
      <c r="AE43" s="28">
        <v>293.8696581251827</v>
      </c>
      <c r="AF43" s="23"/>
      <c r="AG43" s="28">
        <v>292.19392153500002</v>
      </c>
      <c r="AH43" s="23"/>
      <c r="AI43" s="28">
        <v>325.81327807166707</v>
      </c>
      <c r="AJ43" s="75"/>
      <c r="AK43" s="28">
        <v>346.78169740946129</v>
      </c>
      <c r="AL43" s="75"/>
      <c r="AM43" s="28">
        <v>382.14551215499995</v>
      </c>
      <c r="AN43" s="75"/>
      <c r="AO43" s="28">
        <v>437.27643728205356</v>
      </c>
      <c r="AP43" s="75"/>
      <c r="AQ43" s="28">
        <v>394.29990172399982</v>
      </c>
      <c r="AR43" s="75"/>
      <c r="AS43" s="28">
        <v>363.246737831323</v>
      </c>
      <c r="AT43" s="75"/>
      <c r="AU43" s="28">
        <v>509.34367533966002</v>
      </c>
      <c r="AV43" s="75"/>
    </row>
    <row r="44" spans="2:48" ht="10.5" customHeight="1">
      <c r="B44" s="42"/>
      <c r="C44" s="42"/>
      <c r="D44" s="53" t="s">
        <v>448</v>
      </c>
      <c r="E44" s="28"/>
      <c r="F44" s="75"/>
      <c r="G44" s="28"/>
      <c r="H44" s="75"/>
      <c r="I44" s="28"/>
      <c r="J44" s="75"/>
      <c r="K44" s="28"/>
      <c r="L44" s="75"/>
      <c r="M44" s="28"/>
      <c r="N44" s="75"/>
      <c r="O44" s="28"/>
      <c r="P44" s="75"/>
      <c r="Q44" s="28"/>
      <c r="R44" s="75"/>
      <c r="S44" s="75"/>
      <c r="T44" s="75"/>
      <c r="U44" s="28"/>
      <c r="V44" s="75"/>
      <c r="W44" s="28"/>
      <c r="X44" s="75"/>
      <c r="Y44" s="28"/>
      <c r="Z44" s="75"/>
      <c r="AA44" s="28"/>
      <c r="AB44" s="23"/>
      <c r="AC44" s="28"/>
      <c r="AD44" s="23"/>
      <c r="AE44" s="28"/>
      <c r="AF44" s="23"/>
      <c r="AG44" s="28"/>
      <c r="AH44" s="23"/>
      <c r="AI44" s="28"/>
      <c r="AJ44" s="75"/>
      <c r="AK44" s="28"/>
      <c r="AL44" s="75"/>
      <c r="AM44" s="28"/>
      <c r="AN44" s="75"/>
      <c r="AO44" s="28"/>
      <c r="AP44" s="75"/>
      <c r="AR44" s="75"/>
      <c r="AT44" s="75"/>
      <c r="AV44" s="75"/>
    </row>
    <row r="45" spans="2:48" ht="10.5" customHeight="1">
      <c r="B45" s="42">
        <v>17</v>
      </c>
      <c r="C45" s="42"/>
      <c r="D45" s="16" t="s">
        <v>449</v>
      </c>
      <c r="E45" s="28">
        <v>158.32425800000001</v>
      </c>
      <c r="F45" s="75"/>
      <c r="G45" s="28">
        <v>152.80039300000001</v>
      </c>
      <c r="H45" s="75"/>
      <c r="I45" s="28">
        <v>155.11778200000001</v>
      </c>
      <c r="J45" s="75"/>
      <c r="K45" s="28">
        <v>167.316464</v>
      </c>
      <c r="L45" s="75"/>
      <c r="M45" s="28">
        <v>184.15632300000001</v>
      </c>
      <c r="N45" s="75"/>
      <c r="O45" s="28">
        <v>196.64535100000001</v>
      </c>
      <c r="P45" s="75"/>
      <c r="Q45" s="28">
        <v>214.82230300000001</v>
      </c>
      <c r="R45" s="75"/>
      <c r="S45" s="75">
        <v>277.98431826970199</v>
      </c>
      <c r="T45" s="75"/>
      <c r="U45" s="28">
        <v>279.60174995</v>
      </c>
      <c r="V45" s="75"/>
      <c r="W45" s="28">
        <v>271.97757443000006</v>
      </c>
      <c r="X45" s="75"/>
      <c r="Y45" s="28">
        <v>304.17911670000001</v>
      </c>
      <c r="Z45" s="75"/>
      <c r="AA45" s="28">
        <v>314.13196948975127</v>
      </c>
      <c r="AB45" s="23"/>
      <c r="AC45" s="28">
        <v>309.33837561065309</v>
      </c>
      <c r="AD45" s="23"/>
      <c r="AE45" s="28">
        <v>335.29378900493799</v>
      </c>
      <c r="AF45" s="23"/>
      <c r="AG45" s="28">
        <v>342.52693471000003</v>
      </c>
      <c r="AH45" s="23"/>
      <c r="AI45" s="28">
        <v>330.17661155999991</v>
      </c>
      <c r="AJ45" s="75"/>
      <c r="AK45" s="28">
        <v>344.26146666015927</v>
      </c>
      <c r="AL45" s="75"/>
      <c r="AM45" s="28">
        <v>346.57732361799992</v>
      </c>
      <c r="AN45" s="75"/>
      <c r="AO45" s="28">
        <v>287.79612051268708</v>
      </c>
      <c r="AP45" s="75"/>
      <c r="AQ45" s="28">
        <v>225.82429292649002</v>
      </c>
      <c r="AR45" s="75"/>
      <c r="AS45" s="28">
        <v>173.69619374643199</v>
      </c>
      <c r="AT45" s="75"/>
      <c r="AU45" s="28">
        <v>233.66681762319999</v>
      </c>
      <c r="AV45" s="75"/>
    </row>
    <row r="46" spans="2:48" ht="10.5" customHeight="1">
      <c r="B46" s="42"/>
      <c r="C46" s="42"/>
      <c r="D46" s="53" t="s">
        <v>450</v>
      </c>
      <c r="E46" s="28"/>
      <c r="F46" s="75"/>
      <c r="G46" s="28"/>
      <c r="H46" s="75"/>
      <c r="I46" s="28"/>
      <c r="J46" s="75"/>
      <c r="K46" s="28"/>
      <c r="L46" s="75"/>
      <c r="M46" s="28"/>
      <c r="N46" s="75"/>
      <c r="O46" s="28"/>
      <c r="P46" s="75"/>
      <c r="Q46" s="28"/>
      <c r="R46" s="75"/>
      <c r="S46" s="75"/>
      <c r="T46" s="75"/>
      <c r="U46" s="28"/>
      <c r="V46" s="75"/>
      <c r="W46" s="28"/>
      <c r="X46" s="75"/>
      <c r="Y46" s="28"/>
      <c r="Z46" s="75"/>
      <c r="AA46" s="28"/>
      <c r="AB46" s="23"/>
      <c r="AC46" s="28"/>
      <c r="AD46" s="23"/>
      <c r="AE46" s="28"/>
      <c r="AF46" s="23"/>
      <c r="AG46" s="28"/>
      <c r="AH46" s="23"/>
      <c r="AI46" s="28"/>
      <c r="AJ46" s="75"/>
      <c r="AK46" s="28"/>
      <c r="AL46" s="75"/>
      <c r="AM46" s="28"/>
      <c r="AN46" s="75"/>
      <c r="AO46" s="28"/>
      <c r="AP46" s="75"/>
      <c r="AR46" s="75"/>
      <c r="AT46" s="75"/>
      <c r="AV46" s="75"/>
    </row>
    <row r="47" spans="2:48" ht="10.5" customHeight="1">
      <c r="B47" s="42">
        <v>18</v>
      </c>
      <c r="C47" s="42"/>
      <c r="D47" s="16" t="s">
        <v>451</v>
      </c>
      <c r="E47" s="28">
        <v>30.720705000000002</v>
      </c>
      <c r="F47" s="75"/>
      <c r="G47" s="28">
        <v>24.419746</v>
      </c>
      <c r="H47" s="75"/>
      <c r="I47" s="28">
        <v>21.265740000000001</v>
      </c>
      <c r="J47" s="75"/>
      <c r="K47" s="28">
        <v>11.708912</v>
      </c>
      <c r="L47" s="75"/>
      <c r="M47" s="28">
        <v>8.7318259999999999</v>
      </c>
      <c r="N47" s="75"/>
      <c r="O47" s="28">
        <v>14.512570999999999</v>
      </c>
      <c r="P47" s="75"/>
      <c r="Q47" s="28">
        <v>10.494513999999999</v>
      </c>
      <c r="R47" s="75"/>
      <c r="S47" s="75">
        <v>9.8563261157448796</v>
      </c>
      <c r="T47" s="75"/>
      <c r="U47" s="28">
        <v>5.5653342600000002</v>
      </c>
      <c r="V47" s="75"/>
      <c r="W47" s="28">
        <v>5.8035349500000013</v>
      </c>
      <c r="X47" s="75"/>
      <c r="Y47" s="28">
        <v>6.1407081499999991</v>
      </c>
      <c r="Z47" s="75"/>
      <c r="AA47" s="28">
        <v>3.8187419888608871</v>
      </c>
      <c r="AB47" s="23"/>
      <c r="AC47" s="28">
        <v>5.0427535890750841</v>
      </c>
      <c r="AD47" s="23"/>
      <c r="AE47" s="28">
        <v>3.3249667165548464</v>
      </c>
      <c r="AF47" s="23"/>
      <c r="AG47" s="28">
        <v>2.4641727500000004</v>
      </c>
      <c r="AH47" s="23"/>
      <c r="AI47" s="28">
        <v>9.0431574900000022</v>
      </c>
      <c r="AJ47" s="75"/>
      <c r="AK47" s="28">
        <v>4.7571171909726555</v>
      </c>
      <c r="AL47" s="75"/>
      <c r="AM47" s="28">
        <v>6.5786111499999995</v>
      </c>
      <c r="AN47" s="75"/>
      <c r="AO47" s="28">
        <v>6.5453838595916594</v>
      </c>
      <c r="AP47" s="75"/>
      <c r="AQ47" s="28">
        <v>4.6927007942400003</v>
      </c>
      <c r="AR47" s="75"/>
      <c r="AS47" s="28">
        <v>3.4488062911740003</v>
      </c>
      <c r="AT47" s="75"/>
      <c r="AU47" s="28">
        <v>5.64903649277987</v>
      </c>
      <c r="AV47" s="75"/>
    </row>
    <row r="48" spans="2:48" ht="10.5" customHeight="1">
      <c r="B48" s="42"/>
      <c r="C48" s="42"/>
      <c r="D48" s="53" t="s">
        <v>452</v>
      </c>
      <c r="E48" s="28"/>
      <c r="F48" s="75"/>
      <c r="G48" s="28"/>
      <c r="H48" s="75"/>
      <c r="I48" s="28"/>
      <c r="J48" s="75"/>
      <c r="K48" s="28"/>
      <c r="L48" s="75"/>
      <c r="M48" s="28"/>
      <c r="N48" s="75"/>
      <c r="O48" s="28"/>
      <c r="P48" s="75"/>
      <c r="Q48" s="28"/>
      <c r="R48" s="75"/>
      <c r="S48" s="75"/>
      <c r="T48" s="75"/>
      <c r="U48" s="28"/>
      <c r="V48" s="75"/>
      <c r="W48" s="28"/>
      <c r="X48" s="75"/>
      <c r="Y48" s="28"/>
      <c r="Z48" s="75"/>
      <c r="AA48" s="28"/>
      <c r="AB48" s="23"/>
      <c r="AC48" s="28"/>
      <c r="AD48" s="23"/>
      <c r="AE48" s="28"/>
      <c r="AF48" s="23"/>
      <c r="AG48" s="28"/>
      <c r="AH48" s="23"/>
      <c r="AI48" s="28"/>
      <c r="AJ48" s="75"/>
      <c r="AK48" s="28"/>
      <c r="AL48" s="75"/>
      <c r="AM48" s="28"/>
      <c r="AN48" s="75"/>
      <c r="AO48" s="28"/>
      <c r="AP48" s="75"/>
      <c r="AR48" s="75"/>
      <c r="AT48" s="75"/>
      <c r="AV48" s="75"/>
    </row>
    <row r="49" spans="2:48" ht="10.5" customHeight="1">
      <c r="B49" s="42">
        <v>19</v>
      </c>
      <c r="C49" s="42"/>
      <c r="D49" s="16" t="s">
        <v>453</v>
      </c>
      <c r="E49" s="28">
        <v>21.056151999999997</v>
      </c>
      <c r="F49" s="75"/>
      <c r="G49" s="28">
        <v>20.916087999999998</v>
      </c>
      <c r="H49" s="75"/>
      <c r="I49" s="28">
        <v>19.321749000000001</v>
      </c>
      <c r="J49" s="75"/>
      <c r="K49" s="28">
        <v>35.539945000000003</v>
      </c>
      <c r="L49" s="75"/>
      <c r="M49" s="28">
        <v>44.472085</v>
      </c>
      <c r="N49" s="75"/>
      <c r="O49" s="28">
        <v>37.523485999999998</v>
      </c>
      <c r="P49" s="75"/>
      <c r="Q49" s="28">
        <v>28.498416000000002</v>
      </c>
      <c r="R49" s="75"/>
      <c r="S49" s="75">
        <v>25.15226212196411</v>
      </c>
      <c r="T49" s="75"/>
      <c r="U49" s="28">
        <v>34.398748370000007</v>
      </c>
      <c r="V49" s="75"/>
      <c r="W49" s="28">
        <v>32.534535240000004</v>
      </c>
      <c r="X49" s="75"/>
      <c r="Y49" s="28">
        <v>30.015422040000001</v>
      </c>
      <c r="Z49" s="75"/>
      <c r="AA49" s="28">
        <v>16.027775330000001</v>
      </c>
      <c r="AB49" s="23"/>
      <c r="AC49" s="28">
        <v>7.3804215700000002</v>
      </c>
      <c r="AD49" s="23"/>
      <c r="AE49" s="28">
        <v>4.4334046100000002</v>
      </c>
      <c r="AF49" s="23"/>
      <c r="AG49" s="28">
        <v>2.7906067400000003</v>
      </c>
      <c r="AH49" s="23"/>
      <c r="AI49" s="28">
        <v>0.4068581</v>
      </c>
      <c r="AJ49" s="75"/>
      <c r="AK49" s="28">
        <v>0.15826579999999998</v>
      </c>
      <c r="AL49" s="75"/>
      <c r="AM49" s="28">
        <v>8.0000000000000002E-3</v>
      </c>
      <c r="AN49" s="75"/>
      <c r="AO49" s="28">
        <v>8.0000000000000002E-3</v>
      </c>
      <c r="AP49" s="75"/>
      <c r="AQ49" s="28">
        <v>1.6848317000000002E-2</v>
      </c>
      <c r="AR49" s="75"/>
      <c r="AS49" s="28">
        <v>0.55624932199999999</v>
      </c>
      <c r="AT49" s="75"/>
      <c r="AU49" s="28">
        <v>0.64208444013445398</v>
      </c>
      <c r="AV49" s="75"/>
    </row>
    <row r="50" spans="2:48" ht="10.5" customHeight="1">
      <c r="B50" s="42"/>
      <c r="C50" s="42"/>
      <c r="D50" s="53" t="s">
        <v>454</v>
      </c>
      <c r="E50" s="28"/>
      <c r="F50" s="75"/>
      <c r="G50" s="28"/>
      <c r="H50" s="75"/>
      <c r="I50" s="28"/>
      <c r="J50" s="75"/>
      <c r="K50" s="28"/>
      <c r="L50" s="75"/>
      <c r="M50" s="28"/>
      <c r="N50" s="75"/>
      <c r="O50" s="28"/>
      <c r="P50" s="75"/>
      <c r="Q50" s="28"/>
      <c r="R50" s="75"/>
      <c r="S50" s="75"/>
      <c r="T50" s="75"/>
      <c r="U50" s="28"/>
      <c r="V50" s="75"/>
      <c r="W50" s="28"/>
      <c r="X50" s="75"/>
      <c r="Y50" s="28"/>
      <c r="Z50" s="75"/>
      <c r="AA50" s="28"/>
      <c r="AB50" s="23"/>
      <c r="AC50" s="28"/>
      <c r="AD50" s="23"/>
      <c r="AE50" s="28"/>
      <c r="AF50" s="23"/>
      <c r="AG50" s="28"/>
      <c r="AH50" s="23"/>
      <c r="AI50" s="28"/>
      <c r="AJ50" s="75"/>
      <c r="AK50" s="28"/>
      <c r="AL50" s="75"/>
      <c r="AM50" s="28"/>
      <c r="AN50" s="75"/>
      <c r="AO50" s="28"/>
      <c r="AP50" s="75"/>
      <c r="AR50" s="75"/>
      <c r="AT50" s="75"/>
      <c r="AV50" s="75"/>
    </row>
    <row r="51" spans="2:48" ht="10.5" customHeight="1">
      <c r="B51" s="42">
        <v>20</v>
      </c>
      <c r="C51" s="42"/>
      <c r="D51" s="16" t="s">
        <v>1447</v>
      </c>
      <c r="E51" s="28">
        <v>132.68631400000001</v>
      </c>
      <c r="F51" s="75"/>
      <c r="G51" s="28">
        <v>114.913346</v>
      </c>
      <c r="H51" s="75"/>
      <c r="I51" s="28">
        <v>100.66021000000001</v>
      </c>
      <c r="J51" s="75"/>
      <c r="K51" s="28">
        <v>103.899027</v>
      </c>
      <c r="L51" s="75"/>
      <c r="M51" s="28">
        <v>101.101535</v>
      </c>
      <c r="N51" s="75"/>
      <c r="O51" s="28">
        <v>95.228888999999995</v>
      </c>
      <c r="P51" s="75"/>
      <c r="Q51" s="28">
        <v>95.230306999999996</v>
      </c>
      <c r="R51" s="75"/>
      <c r="S51" s="75">
        <v>78.355520999999996</v>
      </c>
      <c r="T51" s="75"/>
      <c r="U51" s="28">
        <v>74.627496790000023</v>
      </c>
      <c r="V51" s="75"/>
      <c r="W51" s="28">
        <v>62.042565740000001</v>
      </c>
      <c r="X51" s="75"/>
      <c r="Y51" s="28">
        <v>70.710374219999991</v>
      </c>
      <c r="Z51" s="75"/>
      <c r="AA51" s="28">
        <v>77.629211599999991</v>
      </c>
      <c r="AB51" s="23"/>
      <c r="AC51" s="28">
        <v>90.13790419</v>
      </c>
      <c r="AD51" s="23"/>
      <c r="AE51" s="28">
        <v>71.820938530000006</v>
      </c>
      <c r="AF51" s="23"/>
      <c r="AG51" s="28">
        <v>64.972685970000001</v>
      </c>
      <c r="AH51" s="23"/>
      <c r="AI51" s="28">
        <v>101.73247560499995</v>
      </c>
      <c r="AJ51" s="75"/>
      <c r="AK51" s="28">
        <v>64.402089769999961</v>
      </c>
      <c r="AL51" s="75"/>
      <c r="AM51" s="28">
        <v>51.019136674999984</v>
      </c>
      <c r="AN51" s="75"/>
      <c r="AO51" s="28">
        <v>46.823944069999982</v>
      </c>
      <c r="AP51" s="75"/>
      <c r="AQ51" s="28">
        <v>40.283749350000001</v>
      </c>
      <c r="AR51" s="75"/>
      <c r="AS51" s="28">
        <v>34.866517180000002</v>
      </c>
      <c r="AT51" s="75"/>
      <c r="AU51" s="28">
        <v>63.170810031999999</v>
      </c>
      <c r="AV51" s="75"/>
    </row>
    <row r="52" spans="2:48" ht="10.5" customHeight="1">
      <c r="B52" s="42"/>
      <c r="C52" s="42"/>
      <c r="D52" s="53" t="s">
        <v>455</v>
      </c>
      <c r="E52" s="28"/>
      <c r="F52" s="75"/>
      <c r="G52" s="28"/>
      <c r="H52" s="75"/>
      <c r="I52" s="28"/>
      <c r="J52" s="75"/>
      <c r="K52" s="28"/>
      <c r="L52" s="75"/>
      <c r="M52" s="28"/>
      <c r="N52" s="75"/>
      <c r="O52" s="28"/>
      <c r="P52" s="75"/>
      <c r="Q52" s="28"/>
      <c r="R52" s="75"/>
      <c r="S52" s="75"/>
      <c r="T52" s="75"/>
      <c r="U52" s="28"/>
      <c r="V52" s="75"/>
      <c r="W52" s="28"/>
      <c r="X52" s="75"/>
      <c r="Y52" s="28"/>
      <c r="Z52" s="75"/>
      <c r="AA52" s="28"/>
      <c r="AB52" s="23"/>
      <c r="AC52" s="28"/>
      <c r="AD52" s="23"/>
      <c r="AE52" s="28"/>
      <c r="AF52" s="23"/>
      <c r="AG52" s="28"/>
      <c r="AH52" s="23"/>
      <c r="AI52" s="28"/>
      <c r="AJ52" s="75"/>
      <c r="AK52" s="28"/>
      <c r="AL52" s="75"/>
      <c r="AM52" s="28"/>
      <c r="AN52" s="75"/>
      <c r="AO52" s="28"/>
      <c r="AP52" s="75"/>
      <c r="AR52" s="75"/>
      <c r="AT52" s="75"/>
      <c r="AV52" s="75"/>
    </row>
    <row r="53" spans="2:48" ht="10.5" customHeight="1">
      <c r="B53" s="42">
        <v>21</v>
      </c>
      <c r="C53" s="42"/>
      <c r="D53" s="16" t="s">
        <v>456</v>
      </c>
      <c r="E53" s="28">
        <v>182.537218</v>
      </c>
      <c r="F53" s="75"/>
      <c r="G53" s="28">
        <v>191.90927199999999</v>
      </c>
      <c r="H53" s="75"/>
      <c r="I53" s="28">
        <v>174.98700200000002</v>
      </c>
      <c r="J53" s="75"/>
      <c r="K53" s="28">
        <v>188.76754</v>
      </c>
      <c r="L53" s="75"/>
      <c r="M53" s="28">
        <v>178.77723399999999</v>
      </c>
      <c r="N53" s="75"/>
      <c r="O53" s="28">
        <v>162.13837799999999</v>
      </c>
      <c r="P53" s="75"/>
      <c r="Q53" s="28">
        <v>183.22581700000001</v>
      </c>
      <c r="R53" s="75"/>
      <c r="S53" s="75">
        <v>174.50421476990195</v>
      </c>
      <c r="T53" s="75"/>
      <c r="U53" s="28">
        <v>147.74254874833329</v>
      </c>
      <c r="V53" s="75"/>
      <c r="W53" s="28">
        <v>147.94628422999997</v>
      </c>
      <c r="X53" s="75"/>
      <c r="Y53" s="28">
        <v>136.03876258</v>
      </c>
      <c r="Z53" s="75"/>
      <c r="AA53" s="28">
        <v>357.67694933848111</v>
      </c>
      <c r="AB53" s="23"/>
      <c r="AC53" s="28">
        <v>542.02094391210039</v>
      </c>
      <c r="AD53" s="23"/>
      <c r="AE53" s="28">
        <v>561.29281381207329</v>
      </c>
      <c r="AF53" s="23"/>
      <c r="AG53" s="28">
        <v>542.21228066966648</v>
      </c>
      <c r="AH53" s="23"/>
      <c r="AI53" s="28">
        <v>506.92788478583276</v>
      </c>
      <c r="AJ53" s="75"/>
      <c r="AK53" s="28">
        <v>452.81442762123999</v>
      </c>
      <c r="AL53" s="75"/>
      <c r="AM53" s="28">
        <v>324.93746724933328</v>
      </c>
      <c r="AN53" s="75"/>
      <c r="AO53" s="28">
        <v>613.93085804646557</v>
      </c>
      <c r="AP53" s="75"/>
      <c r="AQ53" s="28">
        <v>387.84694215101325</v>
      </c>
      <c r="AR53" s="75"/>
      <c r="AS53" s="28">
        <v>222.93354991727003</v>
      </c>
      <c r="AT53" s="75"/>
      <c r="AU53" s="28">
        <v>647.4122282326</v>
      </c>
      <c r="AV53" s="75"/>
    </row>
    <row r="54" spans="2:48" ht="10.5" customHeight="1">
      <c r="B54" s="42"/>
      <c r="C54" s="42"/>
      <c r="D54" s="53" t="s">
        <v>457</v>
      </c>
      <c r="E54" s="28"/>
      <c r="F54" s="75"/>
      <c r="G54" s="28"/>
      <c r="H54" s="75"/>
      <c r="I54" s="28"/>
      <c r="J54" s="75"/>
      <c r="K54" s="28"/>
      <c r="L54" s="75"/>
      <c r="M54" s="28"/>
      <c r="N54" s="75"/>
      <c r="O54" s="28"/>
      <c r="P54" s="75"/>
      <c r="Q54" s="28"/>
      <c r="R54" s="75"/>
      <c r="S54" s="75"/>
      <c r="T54" s="75"/>
      <c r="U54" s="28"/>
      <c r="V54" s="75"/>
      <c r="W54" s="28"/>
      <c r="X54" s="75"/>
      <c r="Y54" s="28"/>
      <c r="Z54" s="75"/>
      <c r="AA54" s="28"/>
      <c r="AB54" s="23"/>
      <c r="AC54" s="28"/>
      <c r="AD54" s="23"/>
      <c r="AE54" s="28"/>
      <c r="AF54" s="23"/>
      <c r="AG54" s="28"/>
      <c r="AH54" s="23"/>
      <c r="AI54" s="28"/>
      <c r="AJ54" s="75"/>
      <c r="AK54" s="28"/>
      <c r="AL54" s="75"/>
      <c r="AM54" s="28"/>
      <c r="AN54" s="75"/>
      <c r="AO54" s="28"/>
      <c r="AP54" s="75"/>
      <c r="AR54" s="75"/>
      <c r="AT54" s="75"/>
      <c r="AV54" s="75"/>
    </row>
    <row r="55" spans="2:48" ht="10.5" customHeight="1">
      <c r="B55" s="42">
        <v>22</v>
      </c>
      <c r="C55" s="42"/>
      <c r="D55" s="16" t="s">
        <v>458</v>
      </c>
      <c r="E55" s="28">
        <v>10.007</v>
      </c>
      <c r="F55" s="75"/>
      <c r="G55" s="28">
        <v>13.645</v>
      </c>
      <c r="H55" s="75"/>
      <c r="I55" s="28">
        <v>20.726899</v>
      </c>
      <c r="J55" s="75"/>
      <c r="K55" s="28">
        <v>16.673552000000001</v>
      </c>
      <c r="L55" s="75"/>
      <c r="M55" s="28">
        <v>19.498062999999998</v>
      </c>
      <c r="N55" s="75"/>
      <c r="O55" s="28">
        <v>22.337645000000002</v>
      </c>
      <c r="P55" s="75"/>
      <c r="Q55" s="28">
        <v>14.885999999999999</v>
      </c>
      <c r="R55" s="75"/>
      <c r="S55" s="75">
        <v>20.521804051901896</v>
      </c>
      <c r="T55" s="75"/>
      <c r="U55" s="28">
        <v>3.1216721799999996</v>
      </c>
      <c r="V55" s="75"/>
      <c r="W55" s="28">
        <v>5.7472438000000015</v>
      </c>
      <c r="X55" s="75"/>
      <c r="Y55" s="28">
        <v>5.5209995100000002</v>
      </c>
      <c r="Z55" s="75"/>
      <c r="AA55" s="28">
        <v>6.93432154</v>
      </c>
      <c r="AB55" s="23"/>
      <c r="AC55" s="28">
        <v>6.34584203</v>
      </c>
      <c r="AD55" s="23"/>
      <c r="AE55" s="28">
        <v>6.9082830699999995</v>
      </c>
      <c r="AF55" s="23"/>
      <c r="AG55" s="28">
        <v>8.7455122899999989</v>
      </c>
      <c r="AH55" s="23"/>
      <c r="AI55" s="28">
        <v>9.8496603</v>
      </c>
      <c r="AJ55" s="75"/>
      <c r="AK55" s="28">
        <v>9.7081959400000013</v>
      </c>
      <c r="AL55" s="75"/>
      <c r="AM55" s="28">
        <v>9.8476382749999978</v>
      </c>
      <c r="AN55" s="75"/>
      <c r="AO55" s="28">
        <v>9.0440890599999992</v>
      </c>
      <c r="AP55" s="75"/>
      <c r="AQ55" s="28">
        <v>1.56556392</v>
      </c>
      <c r="AR55" s="75"/>
      <c r="AS55" s="28">
        <v>1.4435826328000001</v>
      </c>
      <c r="AT55" s="75"/>
      <c r="AU55" s="28">
        <v>8.1235595479999994</v>
      </c>
      <c r="AV55" s="75"/>
    </row>
    <row r="56" spans="2:48" ht="10.5" customHeight="1">
      <c r="B56" s="42"/>
      <c r="C56" s="42"/>
      <c r="D56" s="53" t="s">
        <v>459</v>
      </c>
      <c r="E56" s="28"/>
      <c r="F56" s="75"/>
      <c r="G56" s="28"/>
      <c r="H56" s="75"/>
      <c r="I56" s="28"/>
      <c r="J56" s="75"/>
      <c r="K56" s="28"/>
      <c r="L56" s="75"/>
      <c r="M56" s="28"/>
      <c r="N56" s="75"/>
      <c r="O56" s="28"/>
      <c r="P56" s="75"/>
      <c r="Q56" s="28"/>
      <c r="R56" s="75"/>
      <c r="S56" s="75"/>
      <c r="T56" s="75"/>
      <c r="U56" s="28"/>
      <c r="V56" s="75"/>
      <c r="W56" s="28"/>
      <c r="X56" s="75"/>
      <c r="Y56" s="28"/>
      <c r="Z56" s="75"/>
      <c r="AA56" s="28"/>
      <c r="AB56" s="23"/>
      <c r="AC56" s="28"/>
      <c r="AD56" s="23"/>
      <c r="AE56" s="28"/>
      <c r="AF56" s="23"/>
      <c r="AG56" s="28"/>
      <c r="AH56" s="23"/>
      <c r="AI56" s="28"/>
      <c r="AJ56" s="75"/>
      <c r="AK56" s="28"/>
      <c r="AL56" s="75"/>
      <c r="AM56" s="28"/>
      <c r="AN56" s="75"/>
      <c r="AO56" s="28"/>
      <c r="AP56" s="75"/>
      <c r="AR56" s="75"/>
      <c r="AT56" s="75"/>
      <c r="AV56" s="75"/>
    </row>
    <row r="57" spans="2:48" ht="10.5" customHeight="1">
      <c r="B57" s="42">
        <v>23</v>
      </c>
      <c r="C57" s="42"/>
      <c r="D57" s="16" t="s">
        <v>460</v>
      </c>
      <c r="E57" s="28">
        <v>33.931141000000004</v>
      </c>
      <c r="F57" s="75"/>
      <c r="G57" s="28">
        <v>32.855866999999996</v>
      </c>
      <c r="H57" s="75"/>
      <c r="I57" s="28">
        <v>32.609129000000003</v>
      </c>
      <c r="J57" s="75"/>
      <c r="K57" s="28">
        <v>36.599247000000005</v>
      </c>
      <c r="L57" s="75"/>
      <c r="M57" s="28">
        <v>36.491236000000001</v>
      </c>
      <c r="N57" s="75"/>
      <c r="O57" s="28">
        <v>38.935102000000001</v>
      </c>
      <c r="P57" s="75"/>
      <c r="Q57" s="28">
        <v>30.615788999999999</v>
      </c>
      <c r="R57" s="75"/>
      <c r="S57" s="75">
        <v>33.629485127141315</v>
      </c>
      <c r="T57" s="75"/>
      <c r="U57" s="28">
        <v>29.759030219999996</v>
      </c>
      <c r="V57" s="75"/>
      <c r="W57" s="28">
        <v>28.434953960000005</v>
      </c>
      <c r="X57" s="75"/>
      <c r="Y57" s="28">
        <v>37.416817470000005</v>
      </c>
      <c r="Z57" s="75"/>
      <c r="AA57" s="28">
        <v>41.315980032405911</v>
      </c>
      <c r="AB57" s="23"/>
      <c r="AC57" s="28">
        <v>35.322832330500574</v>
      </c>
      <c r="AD57" s="23"/>
      <c r="AE57" s="28">
        <v>36.237580130365636</v>
      </c>
      <c r="AF57" s="23"/>
      <c r="AG57" s="28">
        <v>39.348534831666676</v>
      </c>
      <c r="AH57" s="23"/>
      <c r="AI57" s="28">
        <v>41.769465054999984</v>
      </c>
      <c r="AJ57" s="75"/>
      <c r="AK57" s="28">
        <v>38.507077207865656</v>
      </c>
      <c r="AL57" s="75"/>
      <c r="AM57" s="28">
        <v>34.384345267500009</v>
      </c>
      <c r="AN57" s="75"/>
      <c r="AO57" s="28">
        <v>32.916474487461407</v>
      </c>
      <c r="AP57" s="75"/>
      <c r="AQ57" s="28">
        <v>23.695236761733323</v>
      </c>
      <c r="AR57" s="75"/>
      <c r="AS57" s="28">
        <v>23.289074257023302</v>
      </c>
      <c r="AT57" s="75"/>
      <c r="AU57" s="28">
        <v>35.908958499999997</v>
      </c>
      <c r="AV57" s="75"/>
    </row>
    <row r="58" spans="2:48" ht="10.5" customHeight="1">
      <c r="B58" s="42"/>
      <c r="C58" s="42"/>
      <c r="D58" s="53" t="s">
        <v>461</v>
      </c>
      <c r="E58" s="28"/>
      <c r="F58" s="75"/>
      <c r="G58" s="28"/>
      <c r="H58" s="75"/>
      <c r="I58" s="28"/>
      <c r="J58" s="75"/>
      <c r="K58" s="28"/>
      <c r="L58" s="75"/>
      <c r="M58" s="28"/>
      <c r="N58" s="75"/>
      <c r="O58" s="28"/>
      <c r="P58" s="75"/>
      <c r="Q58" s="28"/>
      <c r="R58" s="75"/>
      <c r="S58" s="75"/>
      <c r="T58" s="75"/>
      <c r="U58" s="28"/>
      <c r="V58" s="75"/>
      <c r="X58" s="75"/>
      <c r="Y58" s="28"/>
      <c r="Z58" s="75"/>
      <c r="AA58" s="28"/>
      <c r="AB58" s="23"/>
      <c r="AC58" s="28"/>
      <c r="AD58" s="23"/>
      <c r="AE58" s="28"/>
      <c r="AF58" s="23"/>
      <c r="AG58" s="28"/>
      <c r="AH58" s="23"/>
      <c r="AI58" s="28"/>
      <c r="AJ58" s="75"/>
      <c r="AK58" s="28"/>
      <c r="AL58" s="75"/>
      <c r="AM58" s="28"/>
      <c r="AN58" s="75"/>
      <c r="AO58" s="28"/>
      <c r="AP58" s="75"/>
      <c r="AR58" s="75"/>
      <c r="AT58" s="75"/>
      <c r="AV58" s="75"/>
    </row>
    <row r="59" spans="2:48" ht="10.5" customHeight="1">
      <c r="B59" s="42">
        <v>24</v>
      </c>
      <c r="C59" s="42"/>
      <c r="D59" s="16" t="s">
        <v>1448</v>
      </c>
      <c r="E59" s="75" t="s">
        <v>462</v>
      </c>
      <c r="F59" s="75"/>
      <c r="G59" s="75" t="s">
        <v>462</v>
      </c>
      <c r="H59" s="75"/>
      <c r="I59" s="75" t="s">
        <v>462</v>
      </c>
      <c r="J59" s="75"/>
      <c r="K59" s="75" t="s">
        <v>462</v>
      </c>
      <c r="L59" s="75"/>
      <c r="M59" s="75" t="s">
        <v>462</v>
      </c>
      <c r="N59" s="75"/>
      <c r="O59" s="75" t="s">
        <v>462</v>
      </c>
      <c r="P59" s="75"/>
      <c r="Q59" s="75" t="s">
        <v>462</v>
      </c>
      <c r="R59" s="75"/>
      <c r="S59" s="75" t="s">
        <v>462</v>
      </c>
      <c r="T59" s="75"/>
      <c r="U59" s="75" t="s">
        <v>462</v>
      </c>
      <c r="V59" s="75"/>
      <c r="W59" s="75" t="s">
        <v>462</v>
      </c>
      <c r="X59" s="75"/>
      <c r="Y59" s="75" t="s">
        <v>462</v>
      </c>
      <c r="Z59" s="75"/>
      <c r="AA59" s="75" t="s">
        <v>462</v>
      </c>
      <c r="AB59" s="23"/>
      <c r="AC59" s="75" t="s">
        <v>462</v>
      </c>
      <c r="AD59" s="23"/>
      <c r="AE59" s="75" t="s">
        <v>462</v>
      </c>
      <c r="AF59" s="23"/>
      <c r="AG59" s="75" t="s">
        <v>462</v>
      </c>
      <c r="AH59" s="23"/>
      <c r="AI59" s="75" t="s">
        <v>462</v>
      </c>
      <c r="AJ59" s="23"/>
      <c r="AK59" s="75" t="s">
        <v>462</v>
      </c>
      <c r="AL59" s="23"/>
      <c r="AM59" s="75" t="s">
        <v>462</v>
      </c>
      <c r="AN59" s="23"/>
      <c r="AO59" s="75" t="s">
        <v>462</v>
      </c>
      <c r="AP59" s="75"/>
      <c r="AQ59" s="75" t="s">
        <v>462</v>
      </c>
      <c r="AR59" s="75"/>
      <c r="AS59" s="75" t="s">
        <v>462</v>
      </c>
      <c r="AT59" s="75"/>
      <c r="AU59" s="75">
        <v>0</v>
      </c>
      <c r="AV59" s="75"/>
    </row>
    <row r="60" spans="2:48" ht="10.5" customHeight="1">
      <c r="B60" s="42"/>
      <c r="C60" s="42"/>
      <c r="D60" s="53" t="s">
        <v>463</v>
      </c>
      <c r="E60" s="28"/>
      <c r="F60" s="75"/>
      <c r="G60" s="28"/>
      <c r="H60" s="75"/>
      <c r="I60" s="28"/>
      <c r="J60" s="75"/>
      <c r="K60" s="28"/>
      <c r="L60" s="75"/>
      <c r="M60" s="28"/>
      <c r="N60" s="75"/>
      <c r="O60" s="28"/>
      <c r="P60" s="75"/>
      <c r="Q60" s="28"/>
      <c r="R60" s="75"/>
      <c r="S60" s="75"/>
      <c r="T60" s="75"/>
      <c r="U60" s="28"/>
      <c r="V60" s="75"/>
      <c r="W60" s="75"/>
      <c r="X60" s="75"/>
      <c r="Y60" s="28"/>
      <c r="Z60" s="75"/>
      <c r="AA60" s="28"/>
      <c r="AB60" s="23"/>
      <c r="AC60" s="28"/>
      <c r="AD60" s="23"/>
      <c r="AE60" s="28"/>
      <c r="AF60" s="23"/>
      <c r="AG60" s="28"/>
      <c r="AH60" s="23"/>
      <c r="AI60" s="28"/>
      <c r="AJ60" s="75"/>
      <c r="AK60" s="28"/>
      <c r="AL60" s="75"/>
      <c r="AM60" s="28"/>
      <c r="AN60" s="75"/>
      <c r="AO60" s="28"/>
      <c r="AP60" s="75"/>
      <c r="AR60" s="75"/>
      <c r="AT60" s="75"/>
      <c r="AV60" s="75"/>
    </row>
    <row r="61" spans="2:48" ht="10.5" customHeight="1">
      <c r="B61" s="42">
        <v>25</v>
      </c>
      <c r="C61" s="42"/>
      <c r="D61" s="16" t="s">
        <v>464</v>
      </c>
      <c r="E61" s="28">
        <v>0.19118599999999999</v>
      </c>
      <c r="F61" s="75"/>
      <c r="G61" s="28">
        <v>0.38186200000000003</v>
      </c>
      <c r="H61" s="75"/>
      <c r="I61" s="28">
        <v>0.38483600000000001</v>
      </c>
      <c r="J61" s="75"/>
      <c r="K61" s="28">
        <v>0.35596</v>
      </c>
      <c r="L61" s="75"/>
      <c r="M61" s="28">
        <v>0.33869600000000005</v>
      </c>
      <c r="N61" s="75"/>
      <c r="O61" s="28">
        <v>0.19216900000000001</v>
      </c>
      <c r="P61" s="75"/>
      <c r="Q61" s="28">
        <v>0.415823</v>
      </c>
      <c r="R61" s="75"/>
      <c r="S61" s="75">
        <v>0.47789700000000002</v>
      </c>
      <c r="T61" s="75"/>
      <c r="U61" s="28">
        <v>0.14284958</v>
      </c>
      <c r="V61" s="75"/>
      <c r="W61" s="75">
        <v>0.82142540999999991</v>
      </c>
      <c r="X61" s="75"/>
      <c r="Y61" s="28">
        <v>0.33237359999999994</v>
      </c>
      <c r="Z61" s="75"/>
      <c r="AA61" s="28">
        <v>0.2721015699999999</v>
      </c>
      <c r="AB61" s="23"/>
      <c r="AC61" s="28">
        <v>0.37292619000000005</v>
      </c>
      <c r="AD61" s="23"/>
      <c r="AE61" s="28">
        <v>0.17364760000000001</v>
      </c>
      <c r="AF61" s="23"/>
      <c r="AG61" s="28">
        <v>0.2289612</v>
      </c>
      <c r="AH61" s="23"/>
      <c r="AI61" s="28">
        <v>0.21559200000000001</v>
      </c>
      <c r="AJ61" s="75"/>
      <c r="AK61" s="28">
        <v>8.7296000000000012E-2</v>
      </c>
      <c r="AL61" s="75"/>
      <c r="AM61" s="28">
        <v>0.19644560000000003</v>
      </c>
      <c r="AN61" s="75"/>
      <c r="AO61" s="28">
        <v>0.15042169999999999</v>
      </c>
      <c r="AP61" s="75"/>
      <c r="AQ61" s="28">
        <v>0.14261520000000003</v>
      </c>
      <c r="AR61" s="75"/>
      <c r="AS61" s="75" t="s">
        <v>462</v>
      </c>
      <c r="AT61" s="75"/>
      <c r="AU61" s="75">
        <v>0</v>
      </c>
      <c r="AV61" s="75"/>
    </row>
    <row r="62" spans="2:48" ht="10.5" customHeight="1">
      <c r="B62" s="42"/>
      <c r="C62" s="42"/>
      <c r="D62" s="53" t="s">
        <v>465</v>
      </c>
      <c r="E62" s="28"/>
      <c r="F62" s="75"/>
      <c r="G62" s="28"/>
      <c r="H62" s="75"/>
      <c r="I62" s="28"/>
      <c r="J62" s="75"/>
      <c r="K62" s="28"/>
      <c r="L62" s="75"/>
      <c r="M62" s="28"/>
      <c r="N62" s="75"/>
      <c r="O62" s="28"/>
      <c r="P62" s="75"/>
      <c r="Q62" s="28"/>
      <c r="R62" s="75"/>
      <c r="S62" s="75"/>
      <c r="T62" s="75"/>
      <c r="U62" s="28"/>
      <c r="V62" s="75"/>
      <c r="W62" s="75"/>
      <c r="X62" s="75"/>
      <c r="Y62" s="28"/>
      <c r="Z62" s="75"/>
      <c r="AA62" s="28"/>
      <c r="AB62" s="23"/>
      <c r="AC62" s="28"/>
      <c r="AD62" s="23"/>
      <c r="AE62" s="28"/>
      <c r="AF62" s="23"/>
      <c r="AG62" s="28"/>
      <c r="AH62" s="23"/>
      <c r="AI62" s="28"/>
      <c r="AJ62" s="75"/>
      <c r="AK62" s="28"/>
      <c r="AL62" s="75"/>
      <c r="AM62" s="28"/>
      <c r="AN62" s="75"/>
      <c r="AO62" s="28"/>
      <c r="AP62" s="75"/>
      <c r="AR62" s="75"/>
      <c r="AT62" s="75"/>
      <c r="AV62" s="75"/>
    </row>
    <row r="63" spans="2:48" ht="10.5" customHeight="1">
      <c r="B63" s="42">
        <v>26</v>
      </c>
      <c r="C63" s="42"/>
      <c r="D63" s="16" t="s">
        <v>466</v>
      </c>
      <c r="E63" s="28">
        <v>189.5</v>
      </c>
      <c r="F63" s="75"/>
      <c r="G63" s="28">
        <v>181.583</v>
      </c>
      <c r="H63" s="75"/>
      <c r="I63" s="28">
        <v>163.48008799999999</v>
      </c>
      <c r="J63" s="75"/>
      <c r="K63" s="28">
        <v>135.76236700000001</v>
      </c>
      <c r="L63" s="75"/>
      <c r="M63" s="28">
        <v>136.73352499999999</v>
      </c>
      <c r="N63" s="75"/>
      <c r="O63" s="28">
        <v>140.62885600000001</v>
      </c>
      <c r="P63" s="75"/>
      <c r="Q63" s="28">
        <v>139.368649</v>
      </c>
      <c r="R63" s="75"/>
      <c r="S63" s="75">
        <v>133.34327875339596</v>
      </c>
      <c r="T63" s="75"/>
      <c r="U63" s="28">
        <v>102.54570329100008</v>
      </c>
      <c r="V63" s="75"/>
      <c r="W63" s="75">
        <v>90.447031560000013</v>
      </c>
      <c r="X63" s="75"/>
      <c r="Y63" s="28">
        <v>132.85033449000005</v>
      </c>
      <c r="Z63" s="75"/>
      <c r="AA63" s="28">
        <v>241.94177001468407</v>
      </c>
      <c r="AB63" s="23"/>
      <c r="AC63" s="28">
        <v>256.65047442235038</v>
      </c>
      <c r="AD63" s="23"/>
      <c r="AE63" s="28">
        <v>208.21643996725595</v>
      </c>
      <c r="AF63" s="23"/>
      <c r="AG63" s="28">
        <v>262.06194401500005</v>
      </c>
      <c r="AH63" s="23"/>
      <c r="AI63" s="28">
        <v>230.80274695666668</v>
      </c>
      <c r="AJ63" s="75"/>
      <c r="AK63" s="28">
        <v>295.28435325470122</v>
      </c>
      <c r="AL63" s="75"/>
      <c r="AM63" s="28">
        <v>335.52071143000006</v>
      </c>
      <c r="AN63" s="75"/>
      <c r="AO63" s="28">
        <v>355.26928117447841</v>
      </c>
      <c r="AP63" s="75"/>
      <c r="AQ63" s="28">
        <v>319.13759654282666</v>
      </c>
      <c r="AR63" s="75"/>
      <c r="AS63" s="28">
        <v>313.35809647554095</v>
      </c>
      <c r="AT63" s="75"/>
      <c r="AU63" s="28">
        <v>286.74690488250201</v>
      </c>
      <c r="AV63" s="75"/>
    </row>
    <row r="64" spans="2:48" ht="10.5" customHeight="1">
      <c r="B64" s="42"/>
      <c r="C64" s="42"/>
      <c r="D64" s="53" t="s">
        <v>467</v>
      </c>
      <c r="E64" s="28"/>
      <c r="F64" s="75"/>
      <c r="G64" s="28"/>
      <c r="H64" s="75"/>
      <c r="I64" s="28"/>
      <c r="J64" s="75"/>
      <c r="K64" s="28"/>
      <c r="L64" s="75"/>
      <c r="M64" s="28"/>
      <c r="N64" s="75"/>
      <c r="O64" s="28"/>
      <c r="P64" s="75"/>
      <c r="Q64" s="28"/>
      <c r="R64" s="75"/>
      <c r="S64" s="75"/>
      <c r="T64" s="75"/>
      <c r="U64" s="28"/>
      <c r="V64" s="75"/>
      <c r="W64" s="75"/>
      <c r="X64" s="75"/>
      <c r="Y64" s="28"/>
      <c r="Z64" s="75"/>
      <c r="AA64" s="28"/>
      <c r="AB64" s="23"/>
      <c r="AC64" s="28"/>
      <c r="AD64" s="23"/>
      <c r="AE64" s="28"/>
      <c r="AF64" s="23"/>
      <c r="AG64" s="28"/>
      <c r="AH64" s="23"/>
      <c r="AI64" s="28"/>
      <c r="AJ64" s="75"/>
      <c r="AK64" s="28"/>
      <c r="AL64" s="75"/>
      <c r="AM64" s="28"/>
      <c r="AN64" s="75"/>
      <c r="AO64" s="28"/>
      <c r="AP64" s="75"/>
      <c r="AR64" s="75"/>
      <c r="AT64" s="75"/>
      <c r="AV64" s="75"/>
    </row>
    <row r="65" spans="2:48" ht="10.5" customHeight="1">
      <c r="B65" s="42">
        <v>27</v>
      </c>
      <c r="C65" s="42"/>
      <c r="D65" s="16" t="s">
        <v>1449</v>
      </c>
      <c r="E65" s="28">
        <v>22.970486000000001</v>
      </c>
      <c r="F65" s="75"/>
      <c r="G65" s="28">
        <v>21.505396000000001</v>
      </c>
      <c r="H65" s="75"/>
      <c r="I65" s="28">
        <v>14.262343000000001</v>
      </c>
      <c r="J65" s="75"/>
      <c r="K65" s="28">
        <v>12.551594999999999</v>
      </c>
      <c r="L65" s="75"/>
      <c r="M65" s="28">
        <v>14.683046000000001</v>
      </c>
      <c r="N65" s="75"/>
      <c r="O65" s="28">
        <v>7.7791409999999992</v>
      </c>
      <c r="P65" s="75"/>
      <c r="Q65" s="28">
        <v>4.8160169999999995</v>
      </c>
      <c r="R65" s="75"/>
      <c r="S65" s="75">
        <v>13.436770407458564</v>
      </c>
      <c r="T65" s="75"/>
      <c r="U65" s="28">
        <v>9.878478519999998</v>
      </c>
      <c r="V65" s="75"/>
      <c r="W65" s="75">
        <v>15.074134320000001</v>
      </c>
      <c r="X65" s="75"/>
      <c r="Y65" s="28">
        <v>40.702520900000003</v>
      </c>
      <c r="Z65" s="75"/>
      <c r="AA65" s="28">
        <v>0.74028448860886709</v>
      </c>
      <c r="AB65" s="23"/>
      <c r="AC65" s="28">
        <v>0.59091643075084743</v>
      </c>
      <c r="AD65" s="23"/>
      <c r="AE65" s="28">
        <v>1.9468063655484575</v>
      </c>
      <c r="AF65" s="23"/>
      <c r="AG65" s="28">
        <v>4.752480799999999</v>
      </c>
      <c r="AH65" s="23"/>
      <c r="AI65" s="28">
        <v>8.5421196999999989</v>
      </c>
      <c r="AJ65" s="75"/>
      <c r="AK65" s="28">
        <v>21.886411233993691</v>
      </c>
      <c r="AL65" s="75"/>
      <c r="AM65" s="28">
        <v>5.1872631481999996</v>
      </c>
      <c r="AN65" s="75"/>
      <c r="AO65" s="28">
        <v>5.5843681479705065</v>
      </c>
      <c r="AP65" s="75"/>
      <c r="AQ65" s="28">
        <v>4.6948683269000009</v>
      </c>
      <c r="AR65" s="75"/>
      <c r="AS65" s="28">
        <v>12.136040882740001</v>
      </c>
      <c r="AT65" s="75"/>
      <c r="AU65" s="28">
        <v>25.344927672728002</v>
      </c>
      <c r="AV65" s="75"/>
    </row>
    <row r="66" spans="2:48" ht="10.5" customHeight="1">
      <c r="B66" s="42"/>
      <c r="C66" s="42"/>
      <c r="D66" s="53" t="s">
        <v>468</v>
      </c>
      <c r="E66" s="28"/>
      <c r="F66" s="75"/>
      <c r="G66" s="28"/>
      <c r="H66" s="75"/>
      <c r="I66" s="28"/>
      <c r="J66" s="75"/>
      <c r="K66" s="28"/>
      <c r="L66" s="75"/>
      <c r="M66" s="28"/>
      <c r="N66" s="75"/>
      <c r="O66" s="28"/>
      <c r="P66" s="75"/>
      <c r="Q66" s="28"/>
      <c r="R66" s="75"/>
      <c r="S66" s="75"/>
      <c r="T66" s="75"/>
      <c r="U66" s="28"/>
      <c r="V66" s="75"/>
      <c r="W66" s="75"/>
      <c r="X66" s="75"/>
      <c r="Y66" s="28"/>
      <c r="Z66" s="75"/>
      <c r="AA66" s="28"/>
      <c r="AB66" s="23"/>
      <c r="AC66" s="28"/>
      <c r="AD66" s="23"/>
      <c r="AE66" s="28"/>
      <c r="AF66" s="23"/>
      <c r="AG66" s="28"/>
      <c r="AH66" s="23"/>
      <c r="AI66" s="28"/>
      <c r="AJ66" s="75"/>
      <c r="AK66" s="28"/>
      <c r="AL66" s="75"/>
      <c r="AM66" s="28"/>
      <c r="AN66" s="75"/>
      <c r="AO66" s="28"/>
      <c r="AP66" s="75"/>
      <c r="AR66" s="75"/>
      <c r="AT66" s="75"/>
      <c r="AV66" s="75"/>
    </row>
    <row r="67" spans="2:48" ht="10.5" customHeight="1">
      <c r="B67" s="42"/>
      <c r="C67" s="42"/>
      <c r="D67" s="149"/>
      <c r="E67" s="28"/>
      <c r="F67" s="17"/>
      <c r="G67" s="28"/>
      <c r="H67" s="17"/>
      <c r="I67" s="28"/>
      <c r="J67" s="17"/>
      <c r="K67" s="28"/>
      <c r="L67" s="17"/>
      <c r="M67" s="28"/>
      <c r="N67" s="17"/>
      <c r="O67" s="28"/>
      <c r="P67" s="17"/>
      <c r="Q67" s="28"/>
      <c r="R67" s="17"/>
      <c r="S67" s="75"/>
      <c r="T67" s="17"/>
      <c r="U67" s="28"/>
      <c r="V67" s="17"/>
      <c r="W67" s="28"/>
      <c r="X67" s="17"/>
      <c r="Y67" s="28"/>
      <c r="Z67" s="17"/>
      <c r="AA67" s="28"/>
      <c r="AB67" s="23"/>
      <c r="AC67" s="28"/>
      <c r="AD67" s="23"/>
      <c r="AE67" s="28"/>
      <c r="AF67" s="23"/>
      <c r="AG67" s="28"/>
      <c r="AH67" s="23"/>
      <c r="AI67" s="28"/>
      <c r="AJ67" s="17"/>
      <c r="AK67" s="28"/>
      <c r="AL67" s="17"/>
      <c r="AM67" s="28"/>
      <c r="AN67" s="17"/>
      <c r="AO67" s="28"/>
      <c r="AP67" s="17"/>
      <c r="AQ67" s="28"/>
      <c r="AR67" s="17"/>
      <c r="AS67" s="28"/>
      <c r="AT67" s="17"/>
      <c r="AU67" s="28"/>
      <c r="AV67" s="17"/>
    </row>
    <row r="68" spans="2:48" ht="10.5" customHeight="1">
      <c r="B68" s="42">
        <v>28</v>
      </c>
      <c r="C68" s="42"/>
      <c r="D68" s="18" t="s">
        <v>503</v>
      </c>
      <c r="E68" s="65">
        <v>1036.94146</v>
      </c>
      <c r="F68" s="66"/>
      <c r="G68" s="65">
        <v>993.81582899999978</v>
      </c>
      <c r="H68" s="66"/>
      <c r="I68" s="65">
        <v>956.0035959999999</v>
      </c>
      <c r="J68" s="66"/>
      <c r="K68" s="65">
        <v>1007.434727</v>
      </c>
      <c r="L68" s="66"/>
      <c r="M68" s="65">
        <v>1052.7377629999999</v>
      </c>
      <c r="N68" s="66"/>
      <c r="O68" s="65">
        <v>1037.4745359999999</v>
      </c>
      <c r="P68" s="66"/>
      <c r="Q68" s="65">
        <v>1042.5942500000001</v>
      </c>
      <c r="R68" s="66"/>
      <c r="S68" s="133">
        <v>1128.8306800346015</v>
      </c>
      <c r="T68" s="66"/>
      <c r="U68" s="65">
        <v>1023.9758354593332</v>
      </c>
      <c r="V68" s="66"/>
      <c r="W68" s="65">
        <v>905.18970246000003</v>
      </c>
      <c r="X68" s="66"/>
      <c r="Y68" s="65">
        <v>1063.228035975</v>
      </c>
      <c r="Z68" s="66"/>
      <c r="AA68" s="261">
        <v>1376.5875713989951</v>
      </c>
      <c r="AB68" s="23"/>
      <c r="AC68" s="261">
        <v>1531.8270137056804</v>
      </c>
      <c r="AD68" s="23"/>
      <c r="AE68" s="261">
        <v>1523.5371069319185</v>
      </c>
      <c r="AF68" s="23"/>
      <c r="AG68" s="261">
        <v>1562.3134355113332</v>
      </c>
      <c r="AH68" s="23"/>
      <c r="AI68" s="261">
        <v>1565.2876496241663</v>
      </c>
      <c r="AJ68" s="17"/>
      <c r="AK68" s="261">
        <v>1578.651398088394</v>
      </c>
      <c r="AL68" s="17"/>
      <c r="AM68" s="261">
        <v>1496.4171435920334</v>
      </c>
      <c r="AN68" s="17"/>
      <c r="AO68" s="261">
        <v>1795.3453783407081</v>
      </c>
      <c r="AP68" s="17"/>
      <c r="AQ68" s="261">
        <v>1402.2004917659026</v>
      </c>
      <c r="AR68" s="17"/>
      <c r="AS68" s="261">
        <v>1148.97585451186</v>
      </c>
      <c r="AT68" s="17"/>
      <c r="AU68" s="261">
        <v>1816.009002763604</v>
      </c>
      <c r="AV68" s="17"/>
    </row>
    <row r="69" spans="2:48" ht="6" customHeight="1">
      <c r="B69" s="13"/>
      <c r="C69" s="13"/>
      <c r="D69" s="107"/>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c r="AE69" s="123"/>
      <c r="AF69" s="123"/>
      <c r="AG69" s="123"/>
      <c r="AH69" s="123"/>
      <c r="AI69" s="123"/>
      <c r="AJ69" s="123"/>
      <c r="AK69" s="123"/>
      <c r="AL69" s="123"/>
      <c r="AM69" s="123"/>
      <c r="AN69" s="123"/>
      <c r="AO69" s="123"/>
      <c r="AP69" s="123"/>
      <c r="AQ69" s="123"/>
      <c r="AR69" s="123"/>
      <c r="AS69" s="123"/>
      <c r="AT69" s="123"/>
      <c r="AU69" s="123"/>
      <c r="AV69" s="123"/>
    </row>
    <row r="71" spans="2:48">
      <c r="Y71" s="82"/>
      <c r="Z71" s="82"/>
      <c r="AA71" s="82"/>
      <c r="AB71" s="82"/>
      <c r="AC71" s="82"/>
      <c r="AD71" s="82"/>
      <c r="AE71" s="82"/>
      <c r="AF71" s="82"/>
      <c r="AG71" s="82"/>
      <c r="AH71" s="82"/>
      <c r="AI71" s="82"/>
      <c r="AJ71" s="82"/>
      <c r="AK71" s="82"/>
      <c r="AL71" s="82"/>
      <c r="AM71" s="82"/>
      <c r="AN71" s="82"/>
      <c r="AO71" s="82"/>
      <c r="AP71" s="82"/>
    </row>
  </sheetData>
  <mergeCells count="41">
    <mergeCell ref="AU4:AU5"/>
    <mergeCell ref="AU37:AV38"/>
    <mergeCell ref="AS4:AS5"/>
    <mergeCell ref="E4:E5"/>
    <mergeCell ref="G4:G5"/>
    <mergeCell ref="I4:I5"/>
    <mergeCell ref="K4:K5"/>
    <mergeCell ref="M4:M5"/>
    <mergeCell ref="O4:O5"/>
    <mergeCell ref="Q4:Q5"/>
    <mergeCell ref="S4:S5"/>
    <mergeCell ref="U4:U5"/>
    <mergeCell ref="W4:W5"/>
    <mergeCell ref="Y4:Y5"/>
    <mergeCell ref="AA4:AA5"/>
    <mergeCell ref="AC4:AC5"/>
    <mergeCell ref="AE4:AE5"/>
    <mergeCell ref="AG4:AG5"/>
    <mergeCell ref="AS37:AT38"/>
    <mergeCell ref="AQ37:AR38"/>
    <mergeCell ref="AO37:AP38"/>
    <mergeCell ref="AM37:AN38"/>
    <mergeCell ref="AK4:AK5"/>
    <mergeCell ref="AI4:AI5"/>
    <mergeCell ref="AM4:AM5"/>
    <mergeCell ref="AO4:AO5"/>
    <mergeCell ref="AQ4:AQ5"/>
    <mergeCell ref="AA37:AB38"/>
    <mergeCell ref="Y37:Z38"/>
    <mergeCell ref="B4:B5"/>
    <mergeCell ref="B37:B38"/>
    <mergeCell ref="S37:T38"/>
    <mergeCell ref="U37:V38"/>
    <mergeCell ref="W37:X38"/>
    <mergeCell ref="O37:P38"/>
    <mergeCell ref="Q37:R38"/>
    <mergeCell ref="E37:F38"/>
    <mergeCell ref="G37:H38"/>
    <mergeCell ref="I37:J38"/>
    <mergeCell ref="K37:L38"/>
    <mergeCell ref="M37:N38"/>
  </mergeCells>
  <printOptions horizontalCentered="1"/>
  <pageMargins left="0" right="0" top="0" bottom="0" header="0" footer="0"/>
  <pageSetup paperSize="9" scale="99"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BD89"/>
  <sheetViews>
    <sheetView zoomScaleNormal="100" workbookViewId="0"/>
  </sheetViews>
  <sheetFormatPr defaultColWidth="9.109375" defaultRowHeight="13.8" outlineLevelCol="1"/>
  <cols>
    <col min="1" max="1" width="0.5546875" style="11" customWidth="1"/>
    <col min="2" max="2" width="2.6640625" style="11" bestFit="1" customWidth="1"/>
    <col min="3" max="3" width="1.5546875" style="11" bestFit="1" customWidth="1"/>
    <col min="4" max="4" width="42.33203125" style="11" customWidth="1"/>
    <col min="5" max="5" width="5.6640625" style="11" hidden="1" customWidth="1" outlineLevel="1"/>
    <col min="6" max="6" width="1.33203125" style="11" hidden="1" customWidth="1" outlineLevel="1"/>
    <col min="7" max="7" width="5.6640625" style="11" hidden="1" customWidth="1" outlineLevel="1"/>
    <col min="8" max="8" width="1.33203125" style="11" hidden="1" customWidth="1" outlineLevel="1"/>
    <col min="9" max="9" width="5.6640625" style="11" hidden="1" customWidth="1" outlineLevel="1"/>
    <col min="10" max="10" width="1.33203125" style="11" hidden="1" customWidth="1" outlineLevel="1"/>
    <col min="11" max="11" width="5.6640625" style="11" hidden="1" customWidth="1" outlineLevel="1"/>
    <col min="12" max="12" width="1.33203125" style="11" hidden="1" customWidth="1" outlineLevel="1"/>
    <col min="13" max="13" width="5.6640625" style="11" hidden="1" customWidth="1" outlineLevel="1"/>
    <col min="14" max="14" width="1.33203125" style="11" hidden="1" customWidth="1" outlineLevel="1"/>
    <col min="15" max="15" width="5.6640625" style="11" hidden="1" customWidth="1" outlineLevel="1"/>
    <col min="16" max="16" width="1.33203125" style="11" hidden="1" customWidth="1" outlineLevel="1"/>
    <col min="17" max="17" width="5.6640625" style="11" hidden="1" customWidth="1" outlineLevel="1"/>
    <col min="18" max="18" width="1.33203125" style="11" hidden="1" customWidth="1" outlineLevel="1"/>
    <col min="19" max="19" width="5.6640625" style="11" hidden="1" customWidth="1" outlineLevel="1"/>
    <col min="20" max="20" width="1.33203125" style="11" hidden="1" customWidth="1" outlineLevel="1"/>
    <col min="21" max="21" width="5.6640625" style="11" hidden="1" customWidth="1" outlineLevel="1"/>
    <col min="22" max="22" width="1.33203125" style="11" hidden="1" customWidth="1" outlineLevel="1"/>
    <col min="23" max="23" width="5.6640625" style="11" hidden="1" customWidth="1" outlineLevel="1"/>
    <col min="24" max="24" width="1.33203125" style="11" hidden="1" customWidth="1" outlineLevel="1"/>
    <col min="25" max="25" width="5.6640625" style="11" hidden="1" customWidth="1" outlineLevel="1"/>
    <col min="26" max="26" width="1.33203125" style="11" hidden="1" customWidth="1" outlineLevel="1"/>
    <col min="27" max="27" width="5.6640625" style="11" hidden="1" customWidth="1" outlineLevel="1"/>
    <col min="28" max="28" width="1.33203125" style="11" hidden="1" customWidth="1" outlineLevel="1"/>
    <col min="29" max="29" width="5.6640625" style="11" hidden="1" customWidth="1" outlineLevel="1"/>
    <col min="30" max="30" width="1.33203125" style="11" hidden="1" customWidth="1" outlineLevel="1"/>
    <col min="31" max="31" width="5.6640625" style="11" hidden="1" customWidth="1" outlineLevel="1"/>
    <col min="32" max="32" width="1.6640625" style="11" hidden="1" customWidth="1" outlineLevel="1"/>
    <col min="33" max="33" width="5.6640625" style="11" hidden="1" customWidth="1" outlineLevel="1"/>
    <col min="34" max="34" width="1.33203125" style="11" hidden="1" customWidth="1" outlineLevel="1"/>
    <col min="35" max="35" width="5.6640625" style="11" hidden="1" customWidth="1" outlineLevel="1"/>
    <col min="36" max="36" width="1.33203125" style="11" hidden="1" customWidth="1" outlineLevel="1"/>
    <col min="37" max="37" width="5.6640625" style="11" customWidth="1" collapsed="1"/>
    <col min="38" max="38" width="1.33203125" style="11" customWidth="1"/>
    <col min="39" max="39" width="5.6640625" style="11" customWidth="1"/>
    <col min="40" max="40" width="1.33203125" style="11" customWidth="1"/>
    <col min="41" max="41" width="5.6640625" style="11" customWidth="1"/>
    <col min="42" max="42" width="1.33203125" style="11" customWidth="1"/>
    <col min="43" max="43" width="5.6640625" style="11" customWidth="1"/>
    <col min="44" max="44" width="1.33203125" style="11" customWidth="1"/>
    <col min="45" max="45" width="5.6640625" style="11" customWidth="1"/>
    <col min="46" max="46" width="1.33203125" style="11" customWidth="1"/>
    <col min="47" max="47" width="5.6640625" style="11" customWidth="1"/>
    <col min="48" max="48" width="1.33203125" style="11" customWidth="1"/>
    <col min="49" max="49" width="0.88671875" style="11" customWidth="1"/>
    <col min="50" max="50" width="47.88671875" style="11" customWidth="1"/>
    <col min="51" max="52" width="9.109375" style="11"/>
    <col min="53" max="53" width="9.5546875" style="11" bestFit="1" customWidth="1"/>
    <col min="54" max="16384" width="9.109375" style="11"/>
  </cols>
  <sheetData>
    <row r="1" spans="2:53">
      <c r="B1" s="10" t="s">
        <v>1230</v>
      </c>
      <c r="C1" s="10"/>
      <c r="D1" s="2"/>
      <c r="E1" s="2"/>
      <c r="F1" s="2"/>
      <c r="G1" s="2"/>
      <c r="H1" s="2"/>
      <c r="I1" s="2"/>
      <c r="J1" s="2"/>
      <c r="K1" s="2"/>
      <c r="L1" s="2"/>
      <c r="M1" s="2"/>
      <c r="N1" s="2"/>
      <c r="O1" s="2"/>
      <c r="P1" s="2"/>
      <c r="Q1" s="2"/>
      <c r="R1" s="2"/>
    </row>
    <row r="2" spans="2:53">
      <c r="B2" s="156" t="s">
        <v>1231</v>
      </c>
      <c r="C2" s="10"/>
      <c r="D2" s="2"/>
      <c r="E2" s="2"/>
      <c r="F2" s="2"/>
      <c r="G2" s="2"/>
      <c r="H2" s="2"/>
      <c r="I2" s="2"/>
      <c r="J2" s="2"/>
      <c r="K2" s="2"/>
      <c r="L2" s="2"/>
      <c r="M2" s="2"/>
      <c r="N2" s="2"/>
      <c r="O2" s="2"/>
      <c r="P2" s="2"/>
      <c r="Q2" s="2"/>
      <c r="R2" s="2"/>
      <c r="AM2" s="411"/>
      <c r="AN2" s="411"/>
      <c r="AO2" s="411"/>
      <c r="AP2" s="411"/>
      <c r="AQ2" s="411"/>
      <c r="AR2" s="411"/>
      <c r="AS2" s="411"/>
    </row>
    <row r="3" spans="2:53" ht="6" customHeight="1">
      <c r="B3" s="4"/>
      <c r="C3" s="4"/>
      <c r="D3" s="4"/>
      <c r="E3" s="4"/>
      <c r="F3" s="4"/>
      <c r="G3" s="4"/>
      <c r="H3" s="4"/>
      <c r="I3" s="4"/>
      <c r="J3" s="4"/>
      <c r="K3" s="4"/>
      <c r="L3" s="4"/>
      <c r="M3" s="4"/>
      <c r="N3" s="4"/>
      <c r="O3" s="4"/>
      <c r="P3" s="4"/>
      <c r="Q3" s="4"/>
      <c r="R3" s="4"/>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row>
    <row r="4" spans="2:53" ht="6" customHeight="1">
      <c r="B4" s="2"/>
      <c r="C4" s="2"/>
      <c r="D4" s="2"/>
      <c r="E4" s="2"/>
      <c r="F4" s="2"/>
      <c r="G4" s="2"/>
      <c r="H4" s="2"/>
      <c r="I4" s="2"/>
      <c r="J4" s="2"/>
      <c r="K4" s="2"/>
      <c r="L4" s="2"/>
      <c r="M4" s="2"/>
      <c r="N4" s="2"/>
      <c r="O4" s="2"/>
      <c r="P4" s="2"/>
      <c r="Q4" s="2"/>
      <c r="R4" s="2"/>
    </row>
    <row r="5" spans="2:53" ht="14.25" customHeight="1">
      <c r="B5" s="523" t="s">
        <v>469</v>
      </c>
      <c r="C5" s="523"/>
      <c r="D5" s="523"/>
      <c r="E5" s="281">
        <v>2000</v>
      </c>
      <c r="F5" s="404"/>
      <c r="G5" s="281">
        <v>2001</v>
      </c>
      <c r="H5" s="404"/>
      <c r="I5" s="281">
        <v>2002</v>
      </c>
      <c r="J5" s="404"/>
      <c r="K5" s="281">
        <v>2003</v>
      </c>
      <c r="L5" s="404"/>
      <c r="M5" s="281">
        <v>2004</v>
      </c>
      <c r="N5" s="404"/>
      <c r="O5" s="281">
        <v>2005</v>
      </c>
      <c r="P5" s="404"/>
      <c r="Q5" s="281">
        <v>2006</v>
      </c>
      <c r="R5" s="404"/>
      <c r="S5" s="281">
        <v>2007</v>
      </c>
      <c r="T5" s="404"/>
      <c r="U5" s="281">
        <v>2008</v>
      </c>
      <c r="V5" s="404"/>
      <c r="W5" s="281">
        <v>2009</v>
      </c>
      <c r="X5" s="404"/>
      <c r="Y5" s="281">
        <v>2010</v>
      </c>
      <c r="Z5" s="404"/>
      <c r="AA5" s="281">
        <v>2011</v>
      </c>
      <c r="AB5" s="404"/>
      <c r="AC5" s="281">
        <v>2012</v>
      </c>
      <c r="AD5" s="404"/>
      <c r="AE5" s="281">
        <v>2013</v>
      </c>
      <c r="AF5" s="404"/>
      <c r="AG5" s="281">
        <v>2014</v>
      </c>
      <c r="AH5" s="404"/>
      <c r="AI5" s="281">
        <v>2015</v>
      </c>
      <c r="AJ5" s="404"/>
      <c r="AK5" s="281">
        <v>2016</v>
      </c>
      <c r="AL5" s="404"/>
      <c r="AM5" s="281">
        <v>2017</v>
      </c>
      <c r="AN5" s="281"/>
      <c r="AO5" s="281">
        <v>2018</v>
      </c>
      <c r="AP5" s="281"/>
      <c r="AQ5" s="281">
        <v>2019</v>
      </c>
      <c r="AR5" s="404"/>
      <c r="AS5" s="281">
        <v>2020</v>
      </c>
      <c r="AT5" s="404"/>
      <c r="AU5" s="281">
        <v>2021</v>
      </c>
      <c r="AV5" s="404"/>
      <c r="AX5" s="283" t="s">
        <v>470</v>
      </c>
      <c r="AY5" s="18"/>
    </row>
    <row r="6" spans="2:53" ht="6" customHeight="1">
      <c r="B6" s="79"/>
      <c r="C6" s="79"/>
      <c r="D6" s="79"/>
      <c r="E6" s="80"/>
      <c r="F6" s="81"/>
      <c r="G6" s="80"/>
      <c r="H6" s="81"/>
      <c r="I6" s="80"/>
      <c r="J6" s="81"/>
      <c r="K6" s="80"/>
      <c r="L6" s="81"/>
      <c r="M6" s="80"/>
      <c r="N6" s="81"/>
      <c r="O6" s="80"/>
      <c r="P6" s="81"/>
      <c r="Q6" s="14"/>
      <c r="R6" s="15"/>
      <c r="S6" s="14"/>
      <c r="T6" s="15"/>
      <c r="U6" s="14"/>
      <c r="V6" s="15"/>
      <c r="W6" s="14"/>
      <c r="X6" s="15"/>
      <c r="Y6" s="14"/>
      <c r="Z6" s="15"/>
      <c r="AA6" s="14"/>
      <c r="AB6" s="15"/>
      <c r="AC6" s="15"/>
      <c r="AD6" s="15"/>
      <c r="AE6" s="14"/>
      <c r="AF6" s="15"/>
      <c r="AG6" s="14"/>
      <c r="AH6" s="15"/>
      <c r="AI6" s="14"/>
      <c r="AJ6" s="15"/>
      <c r="AK6" s="14"/>
      <c r="AL6" s="15"/>
      <c r="AM6" s="14"/>
      <c r="AN6" s="15"/>
      <c r="AO6" s="14"/>
      <c r="AP6" s="15"/>
      <c r="AQ6" s="14"/>
      <c r="AR6" s="15"/>
      <c r="AS6" s="14"/>
      <c r="AT6" s="15"/>
      <c r="AU6" s="15"/>
      <c r="AV6" s="15"/>
      <c r="AW6" s="79"/>
      <c r="AX6" s="79"/>
    </row>
    <row r="7" spans="2:53" ht="6" customHeight="1">
      <c r="B7" s="16"/>
      <c r="C7" s="16"/>
      <c r="D7" s="16"/>
      <c r="E7" s="16"/>
      <c r="F7" s="16"/>
      <c r="G7" s="16"/>
      <c r="H7" s="16"/>
      <c r="I7" s="16"/>
      <c r="J7" s="16"/>
      <c r="K7" s="16"/>
      <c r="L7" s="16"/>
      <c r="M7" s="16"/>
      <c r="N7" s="16"/>
      <c r="O7" s="16"/>
      <c r="P7" s="16"/>
      <c r="Q7" s="16"/>
      <c r="R7" s="16"/>
      <c r="S7" s="16"/>
      <c r="T7" s="16"/>
      <c r="U7" s="16"/>
      <c r="V7" s="16"/>
      <c r="W7" s="16"/>
      <c r="X7" s="16"/>
      <c r="Y7" s="16"/>
      <c r="Z7" s="17"/>
      <c r="AA7" s="16"/>
      <c r="AB7" s="16"/>
      <c r="AC7" s="16"/>
      <c r="AD7" s="16"/>
      <c r="AE7" s="16"/>
      <c r="AF7" s="16"/>
      <c r="AG7" s="16"/>
      <c r="AH7" s="16"/>
      <c r="AI7" s="16"/>
      <c r="AJ7" s="16"/>
      <c r="AK7" s="16"/>
      <c r="AL7" s="16"/>
      <c r="AM7" s="16"/>
      <c r="AN7" s="16"/>
      <c r="AO7" s="16"/>
      <c r="AP7" s="16"/>
      <c r="AQ7" s="16"/>
      <c r="AR7" s="16"/>
      <c r="AS7" s="16"/>
      <c r="AT7" s="16"/>
      <c r="AU7" s="16"/>
      <c r="AV7" s="16"/>
      <c r="AW7" s="16"/>
      <c r="AX7" s="16"/>
    </row>
    <row r="8" spans="2:53" ht="10.5" customHeight="1">
      <c r="B8" s="42">
        <v>1</v>
      </c>
      <c r="C8" s="42"/>
      <c r="D8" s="18" t="s">
        <v>471</v>
      </c>
      <c r="E8" s="19">
        <v>33.594999999999999</v>
      </c>
      <c r="F8" s="20"/>
      <c r="G8" s="19">
        <v>35.817999999999998</v>
      </c>
      <c r="H8" s="20"/>
      <c r="I8" s="19">
        <v>36.533000000000001</v>
      </c>
      <c r="J8" s="20"/>
      <c r="K8" s="19">
        <v>37.427</v>
      </c>
      <c r="L8" s="20"/>
      <c r="M8" s="19">
        <v>37.798999999999999</v>
      </c>
      <c r="N8" s="20"/>
      <c r="O8" s="19">
        <v>38.369</v>
      </c>
      <c r="P8" s="21"/>
      <c r="Q8" s="19">
        <v>40.729999999999997</v>
      </c>
      <c r="R8" s="20"/>
      <c r="S8" s="22">
        <v>41.942999999999998</v>
      </c>
      <c r="T8" s="20"/>
      <c r="U8" s="19">
        <v>43.271999999999998</v>
      </c>
      <c r="V8" s="20"/>
      <c r="W8" s="19">
        <v>39.747999999999998</v>
      </c>
      <c r="X8" s="20"/>
      <c r="Y8" s="19">
        <v>39.584000000000003</v>
      </c>
      <c r="Z8" s="22"/>
      <c r="AA8" s="279">
        <v>35.215000000000003</v>
      </c>
      <c r="AB8" s="23"/>
      <c r="AC8" s="19">
        <v>33.798000000000002</v>
      </c>
      <c r="AD8" s="23"/>
      <c r="AE8" s="19">
        <v>31.791</v>
      </c>
      <c r="AF8" s="23"/>
      <c r="AG8" s="19">
        <v>32.302</v>
      </c>
      <c r="AH8" s="23"/>
      <c r="AI8" s="19">
        <v>33.061999999999998</v>
      </c>
      <c r="AJ8" s="32"/>
      <c r="AK8" s="19">
        <v>33.567</v>
      </c>
      <c r="AL8" s="32"/>
      <c r="AM8" s="19">
        <v>32.462000000000003</v>
      </c>
      <c r="AN8" s="32"/>
      <c r="AO8" s="19">
        <v>33.822000000000003</v>
      </c>
      <c r="AP8" s="412"/>
      <c r="AQ8" s="19">
        <v>31.832000000000001</v>
      </c>
      <c r="AR8" s="412"/>
      <c r="AS8" s="19">
        <v>14.724</v>
      </c>
      <c r="AT8" s="23"/>
      <c r="AU8" s="19">
        <v>15.962</v>
      </c>
      <c r="AV8" s="23"/>
      <c r="AW8" s="17"/>
      <c r="AX8" s="63" t="s">
        <v>532</v>
      </c>
      <c r="AY8" s="82"/>
    </row>
    <row r="9" spans="2:53" ht="10.5" customHeight="1">
      <c r="B9" s="42">
        <v>2</v>
      </c>
      <c r="C9" s="42"/>
      <c r="D9" s="24" t="s">
        <v>524</v>
      </c>
      <c r="E9" s="25">
        <v>6.6529750000000005</v>
      </c>
      <c r="F9" s="21"/>
      <c r="G9" s="25">
        <v>8.0761694999999989</v>
      </c>
      <c r="H9" s="21"/>
      <c r="I9" s="25">
        <v>8.9443000000000001</v>
      </c>
      <c r="J9" s="21"/>
      <c r="K9" s="25">
        <v>9.0675680000000014</v>
      </c>
      <c r="L9" s="21"/>
      <c r="M9" s="25">
        <v>9.6654</v>
      </c>
      <c r="N9" s="21"/>
      <c r="O9" s="25">
        <v>9.656229999999999</v>
      </c>
      <c r="P9" s="21"/>
      <c r="Q9" s="25">
        <v>10.016669999999998</v>
      </c>
      <c r="R9" s="21"/>
      <c r="S9" s="26">
        <v>9.5601719999999997</v>
      </c>
      <c r="T9" s="21"/>
      <c r="U9" s="25">
        <v>8.2449930000000009</v>
      </c>
      <c r="V9" s="21"/>
      <c r="W9" s="25">
        <v>7.0958519999999998</v>
      </c>
      <c r="X9" s="21"/>
      <c r="Y9" s="25">
        <v>7.0195489999999996</v>
      </c>
      <c r="Z9" s="26"/>
      <c r="AA9" s="185">
        <v>3.9087550000000002</v>
      </c>
      <c r="AB9" s="23"/>
      <c r="AC9" s="25">
        <v>4.32097</v>
      </c>
      <c r="AD9" s="23"/>
      <c r="AE9" s="25">
        <v>3.7435999999999998</v>
      </c>
      <c r="AF9" s="23"/>
      <c r="AG9" s="25">
        <v>4.4183199999999996</v>
      </c>
      <c r="AH9" s="23"/>
      <c r="AI9" s="25">
        <v>4.1478210000000004</v>
      </c>
      <c r="AJ9" s="32"/>
      <c r="AK9" s="25">
        <v>4.3979999999999997</v>
      </c>
      <c r="AL9" s="32"/>
      <c r="AM9" s="25">
        <v>4.3367000000000004</v>
      </c>
      <c r="AN9" s="413"/>
      <c r="AO9" s="25">
        <v>4.2907000000000002</v>
      </c>
      <c r="AP9" s="412"/>
      <c r="AQ9" s="25">
        <v>4.8559999999999999</v>
      </c>
      <c r="AR9" s="412"/>
      <c r="AS9" s="25">
        <v>3.3639999999999999</v>
      </c>
      <c r="AT9" s="23"/>
      <c r="AU9" s="25">
        <v>3.4039999999999999</v>
      </c>
      <c r="AV9" s="23"/>
      <c r="AW9" s="17"/>
      <c r="AX9" s="16" t="s">
        <v>533</v>
      </c>
      <c r="AY9" s="82"/>
    </row>
    <row r="10" spans="2:53" ht="10.5" customHeight="1">
      <c r="B10" s="42"/>
      <c r="C10" s="42"/>
      <c r="D10" s="16" t="s">
        <v>523</v>
      </c>
      <c r="E10" s="16"/>
      <c r="F10" s="27"/>
      <c r="G10" s="16"/>
      <c r="H10" s="27"/>
      <c r="I10" s="16"/>
      <c r="J10" s="27"/>
      <c r="K10" s="16"/>
      <c r="L10" s="27"/>
      <c r="M10" s="16"/>
      <c r="N10" s="27"/>
      <c r="O10" s="16"/>
      <c r="P10" s="27"/>
      <c r="Q10" s="16"/>
      <c r="R10" s="27"/>
      <c r="S10" s="26"/>
      <c r="T10" s="21"/>
      <c r="U10" s="25"/>
      <c r="V10" s="21"/>
      <c r="W10" s="25"/>
      <c r="X10" s="21"/>
      <c r="Y10" s="25"/>
      <c r="Z10" s="26"/>
      <c r="AA10" s="25"/>
      <c r="AB10" s="23"/>
      <c r="AC10" s="25"/>
      <c r="AD10" s="23"/>
      <c r="AE10" s="25"/>
      <c r="AF10" s="23"/>
      <c r="AG10" s="25"/>
      <c r="AH10" s="23"/>
      <c r="AI10" s="25"/>
      <c r="AJ10" s="32"/>
      <c r="AK10" s="25"/>
      <c r="AL10" s="32"/>
      <c r="AM10" s="25"/>
      <c r="AN10" s="32"/>
      <c r="AO10" s="25"/>
      <c r="AP10" s="412"/>
      <c r="AQ10" s="25"/>
      <c r="AR10" s="412"/>
      <c r="AS10" s="25"/>
      <c r="AT10" s="23"/>
      <c r="AU10" s="25"/>
      <c r="AV10" s="23"/>
      <c r="AW10" s="17"/>
      <c r="AX10" s="16" t="s">
        <v>534</v>
      </c>
      <c r="AY10" s="82"/>
    </row>
    <row r="11" spans="2:53" ht="10.5" customHeight="1">
      <c r="B11" s="42"/>
      <c r="C11" s="42"/>
      <c r="D11" s="16"/>
      <c r="E11" s="16"/>
      <c r="F11" s="27"/>
      <c r="G11" s="16"/>
      <c r="H11" s="27"/>
      <c r="I11" s="16"/>
      <c r="J11" s="27"/>
      <c r="K11" s="16"/>
      <c r="L11" s="27"/>
      <c r="M11" s="16"/>
      <c r="N11" s="27"/>
      <c r="O11" s="16"/>
      <c r="P11" s="27"/>
      <c r="Q11" s="16"/>
      <c r="R11" s="27"/>
      <c r="S11" s="17"/>
      <c r="T11" s="27"/>
      <c r="U11" s="16"/>
      <c r="V11" s="27"/>
      <c r="W11" s="28"/>
      <c r="X11" s="27"/>
      <c r="Y11" s="28"/>
      <c r="Z11" s="17"/>
      <c r="AA11" s="28"/>
      <c r="AB11" s="23"/>
      <c r="AC11" s="28"/>
      <c r="AD11" s="23"/>
      <c r="AE11" s="28"/>
      <c r="AF11" s="23"/>
      <c r="AG11" s="28"/>
      <c r="AH11" s="23"/>
      <c r="AI11" s="25"/>
      <c r="AJ11" s="32"/>
      <c r="AK11" s="25"/>
      <c r="AL11" s="25"/>
      <c r="AM11" s="25"/>
      <c r="AN11" s="32"/>
      <c r="AO11" s="25"/>
      <c r="AP11" s="412"/>
      <c r="AQ11" s="25"/>
      <c r="AR11" s="412"/>
      <c r="AS11" s="25"/>
      <c r="AT11" s="23"/>
      <c r="AU11" s="25"/>
      <c r="AV11" s="23"/>
      <c r="AW11" s="17"/>
      <c r="AX11" s="16"/>
      <c r="AY11" s="82"/>
    </row>
    <row r="12" spans="2:53" ht="10.5" customHeight="1">
      <c r="B12" s="42">
        <v>3</v>
      </c>
      <c r="C12" s="42"/>
      <c r="D12" s="18" t="s">
        <v>522</v>
      </c>
      <c r="E12" s="19">
        <v>96.534000000000006</v>
      </c>
      <c r="F12" s="29"/>
      <c r="G12" s="19">
        <v>103.182</v>
      </c>
      <c r="H12" s="29"/>
      <c r="I12" s="19">
        <v>105.63800000000001</v>
      </c>
      <c r="J12" s="29"/>
      <c r="K12" s="19">
        <v>107.489</v>
      </c>
      <c r="L12" s="29"/>
      <c r="M12" s="19">
        <v>108.857</v>
      </c>
      <c r="N12" s="29"/>
      <c r="O12" s="19">
        <v>111.774</v>
      </c>
      <c r="P12" s="30"/>
      <c r="Q12" s="19">
        <v>118.337</v>
      </c>
      <c r="R12" s="29"/>
      <c r="S12" s="22">
        <v>127.117</v>
      </c>
      <c r="T12" s="22"/>
      <c r="U12" s="19">
        <v>135.65700000000001</v>
      </c>
      <c r="V12" s="29"/>
      <c r="W12" s="19">
        <v>139.34800000000001</v>
      </c>
      <c r="X12" s="20"/>
      <c r="Y12" s="19">
        <v>139.75899999999999</v>
      </c>
      <c r="Z12" s="31"/>
      <c r="AA12" s="279">
        <v>151.84</v>
      </c>
      <c r="AB12" s="23"/>
      <c r="AC12" s="19">
        <v>159.36500000000001</v>
      </c>
      <c r="AD12" s="23"/>
      <c r="AE12" s="19">
        <v>168.91499999999999</v>
      </c>
      <c r="AF12" s="23"/>
      <c r="AG12" s="19">
        <v>174.97800000000001</v>
      </c>
      <c r="AH12" s="23"/>
      <c r="AI12" s="19">
        <v>181.37200000000001</v>
      </c>
      <c r="AJ12" s="32"/>
      <c r="AK12" s="19">
        <v>187.37899999999999</v>
      </c>
      <c r="AL12" s="32"/>
      <c r="AM12" s="19">
        <v>197.35400000000001</v>
      </c>
      <c r="AN12" s="32"/>
      <c r="AO12" s="19">
        <v>212.66900000000001</v>
      </c>
      <c r="AP12" s="412"/>
      <c r="AQ12" s="19">
        <v>232.27199999999999</v>
      </c>
      <c r="AR12" s="412"/>
      <c r="AS12" s="19">
        <v>154.43900000000002</v>
      </c>
      <c r="AT12" s="23"/>
      <c r="AU12" s="19">
        <v>148.52800000000002</v>
      </c>
      <c r="AV12" s="23"/>
      <c r="AW12" s="17"/>
      <c r="AX12" s="63" t="s">
        <v>536</v>
      </c>
      <c r="AY12" s="65"/>
      <c r="AZ12" s="201"/>
    </row>
    <row r="13" spans="2:53" ht="10.5" customHeight="1">
      <c r="B13" s="42"/>
      <c r="C13" s="42"/>
      <c r="D13" s="24"/>
      <c r="E13" s="16"/>
      <c r="F13" s="27"/>
      <c r="G13" s="16"/>
      <c r="H13" s="27"/>
      <c r="I13" s="16"/>
      <c r="J13" s="27"/>
      <c r="K13" s="16"/>
      <c r="L13" s="27"/>
      <c r="M13" s="16"/>
      <c r="N13" s="27"/>
      <c r="O13" s="16"/>
      <c r="P13" s="27"/>
      <c r="Q13" s="16"/>
      <c r="R13" s="27"/>
      <c r="S13" s="17"/>
      <c r="T13" s="27"/>
      <c r="U13" s="16"/>
      <c r="V13" s="27"/>
      <c r="W13" s="28"/>
      <c r="X13" s="27"/>
      <c r="Y13" s="28"/>
      <c r="Z13" s="23"/>
      <c r="AA13" s="28"/>
      <c r="AB13" s="23"/>
      <c r="AC13" s="28"/>
      <c r="AD13" s="23"/>
      <c r="AE13" s="28"/>
      <c r="AF13" s="23"/>
      <c r="AG13" s="28"/>
      <c r="AH13" s="23"/>
      <c r="AI13" s="25"/>
      <c r="AJ13" s="32"/>
      <c r="AK13" s="25"/>
      <c r="AL13" s="32"/>
      <c r="AM13" s="25"/>
      <c r="AN13" s="32"/>
      <c r="AO13" s="25"/>
      <c r="AP13" s="412"/>
      <c r="AQ13" s="25"/>
      <c r="AR13" s="412"/>
      <c r="AS13" s="25"/>
      <c r="AT13" s="23"/>
      <c r="AU13" s="28"/>
      <c r="AV13" s="23"/>
      <c r="AW13" s="17"/>
      <c r="AX13" s="24"/>
      <c r="AY13" s="82"/>
    </row>
    <row r="14" spans="2:53" ht="10.5" customHeight="1">
      <c r="B14" s="281">
        <v>4</v>
      </c>
      <c r="C14" s="281"/>
      <c r="D14" s="18" t="s">
        <v>68</v>
      </c>
      <c r="E14" s="19">
        <v>130.12899999999999</v>
      </c>
      <c r="F14" s="22"/>
      <c r="G14" s="19">
        <v>138.999</v>
      </c>
      <c r="H14" s="22"/>
      <c r="I14" s="19">
        <v>143.023</v>
      </c>
      <c r="J14" s="22"/>
      <c r="K14" s="19">
        <v>144.916</v>
      </c>
      <c r="L14" s="22"/>
      <c r="M14" s="19">
        <v>146.65600000000001</v>
      </c>
      <c r="N14" s="22"/>
      <c r="O14" s="19">
        <v>150.143</v>
      </c>
      <c r="P14" s="22"/>
      <c r="Q14" s="19">
        <v>159.06700000000001</v>
      </c>
      <c r="R14" s="22"/>
      <c r="S14" s="22">
        <v>169.06100000000001</v>
      </c>
      <c r="T14" s="22"/>
      <c r="U14" s="19">
        <v>178.929</v>
      </c>
      <c r="V14" s="22"/>
      <c r="W14" s="19">
        <v>179.095</v>
      </c>
      <c r="X14" s="20"/>
      <c r="Y14" s="19">
        <v>179.34299999999999</v>
      </c>
      <c r="Z14" s="31"/>
      <c r="AA14" s="19">
        <v>187.05500000000001</v>
      </c>
      <c r="AB14" s="23"/>
      <c r="AC14" s="19">
        <v>193.16300000000001</v>
      </c>
      <c r="AD14" s="23"/>
      <c r="AE14" s="19">
        <v>200.70599999999999</v>
      </c>
      <c r="AF14" s="23"/>
      <c r="AG14" s="19">
        <v>207.28</v>
      </c>
      <c r="AH14" s="23"/>
      <c r="AI14" s="19">
        <v>214.434</v>
      </c>
      <c r="AJ14" s="32"/>
      <c r="AK14" s="19">
        <v>220.94499999999999</v>
      </c>
      <c r="AL14" s="32"/>
      <c r="AM14" s="264">
        <v>229.816</v>
      </c>
      <c r="AN14" s="32"/>
      <c r="AO14" s="19">
        <v>246.49</v>
      </c>
      <c r="AP14" s="412"/>
      <c r="AQ14" s="19">
        <v>264.60300000000001</v>
      </c>
      <c r="AR14" s="412"/>
      <c r="AS14" s="19">
        <v>169.16300000000001</v>
      </c>
      <c r="AT14" s="23"/>
      <c r="AU14" s="19">
        <v>164.49</v>
      </c>
      <c r="AV14" s="23"/>
      <c r="AW14" s="17"/>
      <c r="AX14" s="18" t="s">
        <v>84</v>
      </c>
      <c r="AY14" s="65"/>
    </row>
    <row r="15" spans="2:53" ht="10.5" customHeight="1">
      <c r="B15" s="42">
        <v>5</v>
      </c>
      <c r="C15" s="42"/>
      <c r="D15" s="24" t="s">
        <v>609</v>
      </c>
      <c r="E15" s="25">
        <v>21.437000000000001</v>
      </c>
      <c r="F15" s="26"/>
      <c r="G15" s="25">
        <v>21.870999999999999</v>
      </c>
      <c r="H15" s="26"/>
      <c r="I15" s="25">
        <v>22.456</v>
      </c>
      <c r="J15" s="26"/>
      <c r="K15" s="25">
        <v>22.43</v>
      </c>
      <c r="L15" s="26"/>
      <c r="M15" s="25">
        <v>22.327000000000002</v>
      </c>
      <c r="N15" s="26"/>
      <c r="O15" s="25">
        <v>23.306000000000001</v>
      </c>
      <c r="P15" s="26"/>
      <c r="Q15" s="25">
        <v>25.023</v>
      </c>
      <c r="R15" s="26"/>
      <c r="S15" s="26">
        <v>26.568000000000001</v>
      </c>
      <c r="T15" s="26"/>
      <c r="U15" s="25">
        <v>29.582000000000001</v>
      </c>
      <c r="V15" s="26"/>
      <c r="W15" s="25">
        <v>27.117999999999999</v>
      </c>
      <c r="X15" s="21"/>
      <c r="Y15" s="25">
        <v>28.234999999999999</v>
      </c>
      <c r="Z15" s="32"/>
      <c r="AA15" s="25">
        <v>29.917000000000002</v>
      </c>
      <c r="AB15" s="23"/>
      <c r="AC15" s="25">
        <v>28.402999999999999</v>
      </c>
      <c r="AD15" s="23"/>
      <c r="AE15" s="25">
        <v>27.23</v>
      </c>
      <c r="AF15" s="23"/>
      <c r="AG15" s="25">
        <v>27.129000000000001</v>
      </c>
      <c r="AH15" s="23"/>
      <c r="AI15" s="25">
        <v>28.024999999999999</v>
      </c>
      <c r="AJ15" s="23"/>
      <c r="AK15" s="25">
        <v>28.288</v>
      </c>
      <c r="AL15" s="23"/>
      <c r="AM15" s="25">
        <v>27.280999999999999</v>
      </c>
      <c r="AN15" s="23"/>
      <c r="AO15" s="25">
        <v>28.776</v>
      </c>
      <c r="AP15" s="23"/>
      <c r="AQ15" s="25">
        <v>27.064</v>
      </c>
      <c r="AR15" s="23"/>
      <c r="AS15" s="25">
        <v>11.087</v>
      </c>
      <c r="AT15" s="23"/>
      <c r="AU15" s="25">
        <v>12.398999999999999</v>
      </c>
      <c r="AV15" s="23"/>
      <c r="AW15" s="17"/>
      <c r="AX15" s="24" t="s">
        <v>643</v>
      </c>
      <c r="AY15" s="82"/>
      <c r="AZ15" s="33"/>
      <c r="BA15" s="33"/>
    </row>
    <row r="16" spans="2:53" ht="10.5" customHeight="1">
      <c r="B16" s="42">
        <v>6</v>
      </c>
      <c r="C16" s="42"/>
      <c r="D16" s="24" t="s">
        <v>508</v>
      </c>
      <c r="E16" s="25">
        <v>9.4740000000000002</v>
      </c>
      <c r="F16" s="26"/>
      <c r="G16" s="25">
        <v>9.1280000000000001</v>
      </c>
      <c r="H16" s="26"/>
      <c r="I16" s="25">
        <v>9.6950000000000003</v>
      </c>
      <c r="J16" s="26"/>
      <c r="K16" s="25">
        <v>10.162000000000001</v>
      </c>
      <c r="L16" s="26"/>
      <c r="M16" s="25">
        <v>10.225</v>
      </c>
      <c r="N16" s="26"/>
      <c r="O16" s="25">
        <v>9.6050000000000004</v>
      </c>
      <c r="P16" s="26"/>
      <c r="Q16" s="25">
        <v>9.9819999999999993</v>
      </c>
      <c r="R16" s="26"/>
      <c r="S16" s="26">
        <v>10.686</v>
      </c>
      <c r="T16" s="26"/>
      <c r="U16" s="25">
        <v>12.709</v>
      </c>
      <c r="V16" s="26"/>
      <c r="W16" s="25">
        <v>11.71</v>
      </c>
      <c r="X16" s="21"/>
      <c r="Y16" s="25">
        <v>10.241</v>
      </c>
      <c r="Z16" s="32"/>
      <c r="AA16" s="25">
        <v>10.782999999999999</v>
      </c>
      <c r="AB16" s="23"/>
      <c r="AC16" s="25">
        <v>11.316000000000001</v>
      </c>
      <c r="AD16" s="23"/>
      <c r="AE16" s="25">
        <v>12.638</v>
      </c>
      <c r="AF16" s="23"/>
      <c r="AG16" s="25">
        <v>11.936</v>
      </c>
      <c r="AH16" s="23"/>
      <c r="AI16" s="25">
        <v>12.628</v>
      </c>
      <c r="AJ16" s="23"/>
      <c r="AK16" s="25">
        <v>5.5129999999999999</v>
      </c>
      <c r="AL16" s="23"/>
      <c r="AM16" s="307">
        <v>6.4219999999999997</v>
      </c>
      <c r="AN16" s="23"/>
      <c r="AO16" s="307">
        <v>6.5149999999999997</v>
      </c>
      <c r="AP16" s="23"/>
      <c r="AQ16" s="25">
        <v>6.7880000000000003</v>
      </c>
      <c r="AR16" s="23"/>
      <c r="AS16" s="25">
        <v>4.8449999999999998</v>
      </c>
      <c r="AT16" s="23"/>
      <c r="AU16" s="25">
        <v>4.0380000000000003</v>
      </c>
      <c r="AV16" s="23"/>
      <c r="AW16" s="17"/>
      <c r="AX16" s="24" t="s">
        <v>641</v>
      </c>
      <c r="AY16" s="82"/>
      <c r="BA16" s="33"/>
    </row>
    <row r="17" spans="2:53" ht="10.5" customHeight="1">
      <c r="B17" s="42">
        <v>7</v>
      </c>
      <c r="C17" s="42"/>
      <c r="D17" s="24" t="s">
        <v>630</v>
      </c>
      <c r="E17" s="25">
        <v>99.218999999999994</v>
      </c>
      <c r="F17" s="26"/>
      <c r="G17" s="25">
        <v>108.001</v>
      </c>
      <c r="H17" s="26"/>
      <c r="I17" s="25">
        <v>110.872</v>
      </c>
      <c r="J17" s="26"/>
      <c r="K17" s="25">
        <v>112.324</v>
      </c>
      <c r="L17" s="26"/>
      <c r="M17" s="25">
        <v>114.105</v>
      </c>
      <c r="N17" s="26"/>
      <c r="O17" s="25">
        <v>117.233</v>
      </c>
      <c r="P17" s="26"/>
      <c r="Q17" s="25">
        <v>124.062</v>
      </c>
      <c r="R17" s="26"/>
      <c r="S17" s="26">
        <v>131.80600000000001</v>
      </c>
      <c r="T17" s="26"/>
      <c r="U17" s="25">
        <v>136.637</v>
      </c>
      <c r="V17" s="26"/>
      <c r="W17" s="25">
        <v>140.26599999999999</v>
      </c>
      <c r="X17" s="21"/>
      <c r="Y17" s="25">
        <v>140.86699999999999</v>
      </c>
      <c r="Z17" s="32"/>
      <c r="AA17" s="25">
        <v>146.35499999999999</v>
      </c>
      <c r="AB17" s="23"/>
      <c r="AC17" s="25">
        <v>153.44399999999999</v>
      </c>
      <c r="AD17" s="23"/>
      <c r="AE17" s="25">
        <v>160.83699999999999</v>
      </c>
      <c r="AF17" s="23"/>
      <c r="AG17" s="25">
        <v>168.214</v>
      </c>
      <c r="AH17" s="23"/>
      <c r="AI17" s="25">
        <v>173.78100000000001</v>
      </c>
      <c r="AJ17" s="23"/>
      <c r="AK17" s="25">
        <v>187.143</v>
      </c>
      <c r="AL17" s="23"/>
      <c r="AM17" s="25">
        <v>196.113</v>
      </c>
      <c r="AN17" s="23"/>
      <c r="AO17" s="25">
        <v>211.19900000000001</v>
      </c>
      <c r="AP17" s="23"/>
      <c r="AQ17" s="25">
        <v>230.75200000000001</v>
      </c>
      <c r="AR17" s="23"/>
      <c r="AS17" s="25">
        <v>153.23099999999999</v>
      </c>
      <c r="AT17" s="23"/>
      <c r="AU17" s="25">
        <v>148.054</v>
      </c>
      <c r="AV17" s="23"/>
      <c r="AW17" s="17"/>
      <c r="AX17" s="24" t="s">
        <v>642</v>
      </c>
      <c r="AY17" s="28"/>
      <c r="BA17" s="33"/>
    </row>
    <row r="18" spans="2:53" ht="10.5" customHeight="1">
      <c r="B18" s="42">
        <v>8</v>
      </c>
      <c r="C18" s="42"/>
      <c r="D18" s="24" t="s">
        <v>509</v>
      </c>
      <c r="E18" s="25">
        <v>6.2690000000000001</v>
      </c>
      <c r="F18" s="21"/>
      <c r="G18" s="25">
        <v>6.6980000000000004</v>
      </c>
      <c r="H18" s="21"/>
      <c r="I18" s="25">
        <v>7.1790000000000003</v>
      </c>
      <c r="J18" s="21"/>
      <c r="K18" s="25">
        <v>7.1609999999999996</v>
      </c>
      <c r="L18" s="21"/>
      <c r="M18" s="25">
        <v>7.2380000000000004</v>
      </c>
      <c r="N18" s="21"/>
      <c r="O18" s="25">
        <v>6.8220000000000001</v>
      </c>
      <c r="P18" s="21"/>
      <c r="Q18" s="25">
        <v>7.149</v>
      </c>
      <c r="R18" s="21"/>
      <c r="S18" s="26">
        <v>7.7469999999999999</v>
      </c>
      <c r="T18" s="21"/>
      <c r="U18" s="25">
        <v>8.266</v>
      </c>
      <c r="V18" s="21"/>
      <c r="W18" s="25">
        <v>8.4979999999999993</v>
      </c>
      <c r="X18" s="21"/>
      <c r="Y18" s="25">
        <v>8.0640000000000001</v>
      </c>
      <c r="Z18" s="32"/>
      <c r="AA18" s="25">
        <v>7.79</v>
      </c>
      <c r="AB18" s="23"/>
      <c r="AC18" s="25">
        <v>8.0399999999999991</v>
      </c>
      <c r="AD18" s="23"/>
      <c r="AE18" s="25">
        <v>8.31</v>
      </c>
      <c r="AF18" s="23"/>
      <c r="AG18" s="25">
        <v>8.7899999999999991</v>
      </c>
      <c r="AH18" s="23"/>
      <c r="AI18" s="26" t="s">
        <v>78</v>
      </c>
      <c r="AJ18" s="23"/>
      <c r="AK18" s="26" t="s">
        <v>78</v>
      </c>
      <c r="AL18" s="23"/>
      <c r="AM18" s="26" t="s">
        <v>78</v>
      </c>
      <c r="AN18" s="23"/>
      <c r="AO18" s="306" t="s">
        <v>78</v>
      </c>
      <c r="AP18" s="23"/>
      <c r="AQ18" s="26" t="s">
        <v>78</v>
      </c>
      <c r="AR18" s="23"/>
      <c r="AS18" s="306" t="s">
        <v>78</v>
      </c>
      <c r="AT18" s="23"/>
      <c r="AU18" s="306" t="s">
        <v>78</v>
      </c>
      <c r="AV18" s="23"/>
      <c r="AW18" s="17"/>
      <c r="AX18" s="24" t="s">
        <v>510</v>
      </c>
      <c r="AY18" s="82"/>
    </row>
    <row r="19" spans="2:53" ht="10.5" customHeight="1">
      <c r="B19" s="42">
        <v>9</v>
      </c>
      <c r="C19" s="42"/>
      <c r="D19" s="24" t="s">
        <v>744</v>
      </c>
      <c r="E19" s="25">
        <v>3.5179999999999998</v>
      </c>
      <c r="F19" s="21"/>
      <c r="G19" s="25">
        <v>6.04</v>
      </c>
      <c r="H19" s="21"/>
      <c r="I19" s="25">
        <v>6.7809999999999997</v>
      </c>
      <c r="J19" s="21"/>
      <c r="K19" s="25">
        <v>7.3819999999999997</v>
      </c>
      <c r="L19" s="21"/>
      <c r="M19" s="25">
        <v>7.4089999999999998</v>
      </c>
      <c r="N19" s="21"/>
      <c r="O19" s="25">
        <v>7.6529999999999996</v>
      </c>
      <c r="P19" s="21"/>
      <c r="Q19" s="25">
        <v>8.6890000000000001</v>
      </c>
      <c r="R19" s="21"/>
      <c r="S19" s="26">
        <v>10.44</v>
      </c>
      <c r="T19" s="26"/>
      <c r="U19" s="25">
        <v>11.404</v>
      </c>
      <c r="V19" s="21"/>
      <c r="W19" s="25">
        <v>11.698</v>
      </c>
      <c r="X19" s="21"/>
      <c r="Y19" s="25">
        <v>10.952999999999999</v>
      </c>
      <c r="Z19" s="32"/>
      <c r="AA19" s="25">
        <v>11.273999999999999</v>
      </c>
      <c r="AB19" s="23"/>
      <c r="AC19" s="25">
        <v>11.768000000000001</v>
      </c>
      <c r="AD19" s="23"/>
      <c r="AE19" s="25">
        <v>12.256</v>
      </c>
      <c r="AF19" s="23"/>
      <c r="AG19" s="25">
        <v>12.257999999999999</v>
      </c>
      <c r="AH19" s="23"/>
      <c r="AI19" s="25">
        <v>12.689</v>
      </c>
      <c r="AJ19" s="23"/>
      <c r="AK19" s="25">
        <v>12.000999999999999</v>
      </c>
      <c r="AL19" s="23"/>
      <c r="AM19" s="25">
        <v>12.148</v>
      </c>
      <c r="AN19" s="23"/>
      <c r="AO19" s="25">
        <v>11.16</v>
      </c>
      <c r="AP19" s="23"/>
      <c r="AQ19" s="25">
        <v>12.472</v>
      </c>
      <c r="AR19" s="23"/>
      <c r="AS19" s="25">
        <v>4.782</v>
      </c>
      <c r="AT19" s="23"/>
      <c r="AU19" s="25">
        <v>5.5640000000000001</v>
      </c>
      <c r="AV19" s="23"/>
      <c r="AW19" s="17"/>
      <c r="AX19" s="24" t="s">
        <v>746</v>
      </c>
      <c r="AY19" s="82"/>
      <c r="BA19" s="249"/>
    </row>
    <row r="20" spans="2:53" ht="11.25" customHeight="1">
      <c r="B20" s="42">
        <v>10</v>
      </c>
      <c r="C20" s="42"/>
      <c r="D20" s="24" t="s">
        <v>745</v>
      </c>
      <c r="E20" s="25">
        <v>114.504</v>
      </c>
      <c r="F20" s="26"/>
      <c r="G20" s="25">
        <v>121.65300000000001</v>
      </c>
      <c r="H20" s="26"/>
      <c r="I20" s="25">
        <v>124.465</v>
      </c>
      <c r="J20" s="26"/>
      <c r="K20" s="25">
        <v>126.39400000000001</v>
      </c>
      <c r="L20" s="26"/>
      <c r="M20" s="25">
        <v>128.30199999999999</v>
      </c>
      <c r="N20" s="26"/>
      <c r="O20" s="25">
        <v>131.57499999999999</v>
      </c>
      <c r="P20" s="26"/>
      <c r="Q20" s="25">
        <v>138.91900000000001</v>
      </c>
      <c r="R20" s="26"/>
      <c r="S20" s="26">
        <v>147.69800000000001</v>
      </c>
      <c r="T20" s="30"/>
      <c r="U20" s="25">
        <v>155.535</v>
      </c>
      <c r="V20" s="26"/>
      <c r="W20" s="25">
        <v>156.73599999999999</v>
      </c>
      <c r="X20" s="26"/>
      <c r="Y20" s="25">
        <v>156.31899999999999</v>
      </c>
      <c r="Z20" s="32"/>
      <c r="AA20" s="25">
        <v>165.53700000000001</v>
      </c>
      <c r="AB20" s="23"/>
      <c r="AC20" s="25">
        <v>172.65199999999999</v>
      </c>
      <c r="AD20" s="23"/>
      <c r="AE20" s="25">
        <v>180.47499999999999</v>
      </c>
      <c r="AF20" s="23"/>
      <c r="AG20" s="25">
        <v>186.209</v>
      </c>
      <c r="AH20" s="23"/>
      <c r="AI20" s="25">
        <v>192.67699999999999</v>
      </c>
      <c r="AJ20" s="23"/>
      <c r="AK20" s="25">
        <v>199.40299999999999</v>
      </c>
      <c r="AL20" s="23"/>
      <c r="AM20" s="307">
        <v>207.19</v>
      </c>
      <c r="AN20" s="23"/>
      <c r="AO20" s="25">
        <v>223.58</v>
      </c>
      <c r="AP20" s="23"/>
      <c r="AQ20" s="25">
        <v>240.77</v>
      </c>
      <c r="AR20" s="23" t="s">
        <v>810</v>
      </c>
      <c r="AS20" s="25">
        <v>156.59399999999999</v>
      </c>
      <c r="AT20" s="23"/>
      <c r="AU20" s="25">
        <v>151.59299999999999</v>
      </c>
      <c r="AV20" s="23"/>
      <c r="AW20" s="17"/>
      <c r="AX20" s="24" t="s">
        <v>747</v>
      </c>
      <c r="AY20" s="28"/>
      <c r="AZ20" s="33"/>
    </row>
    <row r="21" spans="2:53" ht="11.25" customHeight="1">
      <c r="B21" s="42">
        <v>11</v>
      </c>
      <c r="C21" s="42"/>
      <c r="D21" s="24" t="s">
        <v>861</v>
      </c>
      <c r="E21" s="25">
        <v>15.624999999999986</v>
      </c>
      <c r="F21" s="25"/>
      <c r="G21" s="25">
        <v>17.345999999999989</v>
      </c>
      <c r="H21" s="25"/>
      <c r="I21" s="25">
        <v>18.557999999999993</v>
      </c>
      <c r="J21" s="25"/>
      <c r="K21" s="25">
        <v>18.521999999999991</v>
      </c>
      <c r="L21" s="25"/>
      <c r="M21" s="25">
        <v>18.354000000000013</v>
      </c>
      <c r="N21" s="25"/>
      <c r="O21" s="25">
        <v>18.568000000000012</v>
      </c>
      <c r="P21" s="25"/>
      <c r="Q21" s="25">
        <v>20.147999999999996</v>
      </c>
      <c r="R21" s="25"/>
      <c r="S21" s="25">
        <v>21.363</v>
      </c>
      <c r="T21" s="25"/>
      <c r="U21" s="25">
        <v>23.394000000000005</v>
      </c>
      <c r="V21" s="25"/>
      <c r="W21" s="25">
        <v>22.359000000000009</v>
      </c>
      <c r="X21" s="25"/>
      <c r="Y21" s="25">
        <v>23.024000000000001</v>
      </c>
      <c r="Z21" s="25"/>
      <c r="AA21" s="25">
        <v>21.518000000000001</v>
      </c>
      <c r="AB21" s="25"/>
      <c r="AC21" s="25">
        <v>20.511000000000024</v>
      </c>
      <c r="AD21" s="25"/>
      <c r="AE21" s="25">
        <v>20.230999999999995</v>
      </c>
      <c r="AF21" s="25"/>
      <c r="AG21" s="25">
        <v>21.070999999999998</v>
      </c>
      <c r="AH21" s="25"/>
      <c r="AI21" s="25">
        <v>21.757000000000005</v>
      </c>
      <c r="AJ21" s="25"/>
      <c r="AK21" s="25">
        <v>21.542000000000002</v>
      </c>
      <c r="AL21" s="25"/>
      <c r="AM21" s="25">
        <v>22.626000000000005</v>
      </c>
      <c r="AN21" s="25"/>
      <c r="AO21" s="25">
        <v>22.909999999999997</v>
      </c>
      <c r="AP21" s="23"/>
      <c r="AQ21" s="25">
        <v>23.832999999999998</v>
      </c>
      <c r="AR21" s="23" t="s">
        <v>810</v>
      </c>
      <c r="AS21" s="25">
        <v>12.569000000000001</v>
      </c>
      <c r="AT21" s="23"/>
      <c r="AU21" s="25">
        <v>12.897</v>
      </c>
      <c r="AV21" s="23"/>
      <c r="AW21" s="17"/>
      <c r="AX21" s="24" t="s">
        <v>862</v>
      </c>
      <c r="AY21" s="28"/>
      <c r="AZ21" s="33"/>
    </row>
    <row r="22" spans="2:53" ht="6" customHeight="1">
      <c r="B22" s="34"/>
      <c r="C22" s="34"/>
      <c r="D22" s="35"/>
      <c r="E22" s="36"/>
      <c r="F22" s="37"/>
      <c r="G22" s="36"/>
      <c r="H22" s="37"/>
      <c r="I22" s="36"/>
      <c r="J22" s="37"/>
      <c r="K22" s="36"/>
      <c r="L22" s="37"/>
      <c r="M22" s="36"/>
      <c r="N22" s="37"/>
      <c r="O22" s="36"/>
      <c r="P22" s="37"/>
      <c r="Q22" s="36"/>
      <c r="R22" s="37"/>
      <c r="S22" s="37"/>
      <c r="T22" s="38"/>
      <c r="U22" s="36"/>
      <c r="V22" s="37"/>
      <c r="W22" s="36"/>
      <c r="X22" s="37"/>
      <c r="Y22" s="36"/>
      <c r="Z22" s="39"/>
      <c r="AA22" s="36"/>
      <c r="AB22" s="40"/>
      <c r="AC22" s="40"/>
      <c r="AD22" s="40"/>
      <c r="AE22" s="36"/>
      <c r="AF22" s="40"/>
      <c r="AG22" s="36"/>
      <c r="AH22" s="40"/>
      <c r="AI22" s="36"/>
      <c r="AJ22" s="40"/>
      <c r="AK22" s="36"/>
      <c r="AL22" s="40"/>
      <c r="AM22" s="36"/>
      <c r="AN22" s="40"/>
      <c r="AO22" s="36"/>
      <c r="AP22" s="40"/>
      <c r="AQ22" s="36"/>
      <c r="AR22" s="40"/>
      <c r="AS22" s="36"/>
      <c r="AT22" s="40"/>
      <c r="AU22" s="40"/>
      <c r="AV22" s="40"/>
      <c r="AW22" s="41"/>
      <c r="AX22" s="35"/>
      <c r="AY22" s="82"/>
    </row>
    <row r="23" spans="2:53" ht="6" customHeight="1">
      <c r="B23" s="42"/>
      <c r="C23" s="42"/>
      <c r="D23" s="24"/>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24"/>
      <c r="AY23" s="82"/>
    </row>
    <row r="24" spans="2:53" s="43" customFormat="1" ht="14.25" customHeight="1">
      <c r="B24" s="523" t="s">
        <v>472</v>
      </c>
      <c r="C24" s="523"/>
      <c r="D24" s="523"/>
      <c r="E24" s="497"/>
      <c r="F24" s="497"/>
      <c r="G24" s="497"/>
      <c r="H24" s="497"/>
      <c r="I24" s="497"/>
      <c r="J24" s="497"/>
      <c r="K24" s="497"/>
      <c r="L24" s="497"/>
      <c r="M24" s="497"/>
      <c r="N24" s="497"/>
      <c r="O24" s="497"/>
      <c r="P24" s="497"/>
      <c r="Q24" s="497"/>
      <c r="R24" s="497"/>
      <c r="S24" s="497"/>
      <c r="T24" s="497"/>
      <c r="U24" s="497"/>
      <c r="V24" s="497"/>
      <c r="W24" s="497"/>
      <c r="X24" s="497"/>
      <c r="Y24" s="497"/>
      <c r="Z24" s="497"/>
      <c r="AA24" s="497"/>
      <c r="AB24" s="497"/>
      <c r="AC24" s="42"/>
      <c r="AD24" s="42"/>
      <c r="AE24" s="287"/>
      <c r="AF24" s="287"/>
      <c r="AG24" s="287"/>
      <c r="AH24" s="287"/>
      <c r="AI24" s="287"/>
      <c r="AJ24" s="287"/>
      <c r="AK24" s="287"/>
      <c r="AL24" s="287"/>
      <c r="AM24" s="547"/>
      <c r="AN24" s="547"/>
      <c r="AO24" s="547"/>
      <c r="AP24" s="547"/>
      <c r="AQ24" s="497"/>
      <c r="AR24" s="497"/>
      <c r="AS24" s="497"/>
      <c r="AT24" s="497"/>
      <c r="AU24" s="42"/>
      <c r="AV24" s="42"/>
      <c r="AX24" s="63" t="s">
        <v>511</v>
      </c>
      <c r="AY24" s="396"/>
    </row>
    <row r="25" spans="2:53" s="43" customFormat="1" ht="6" customHeight="1">
      <c r="B25" s="283"/>
      <c r="C25" s="283"/>
      <c r="D25" s="283"/>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283"/>
      <c r="AX25" s="283"/>
      <c r="AY25" s="396"/>
    </row>
    <row r="26" spans="2:53" ht="4.5" customHeight="1">
      <c r="B26" s="44"/>
      <c r="C26" s="44"/>
      <c r="D26" s="44"/>
      <c r="E26" s="44"/>
      <c r="F26" s="44"/>
      <c r="G26" s="44"/>
      <c r="H26" s="44"/>
      <c r="I26" s="44"/>
      <c r="J26" s="44"/>
      <c r="K26" s="44"/>
      <c r="L26" s="44"/>
      <c r="M26" s="44"/>
      <c r="N26" s="44"/>
      <c r="O26" s="44"/>
      <c r="P26" s="44"/>
      <c r="Q26" s="44"/>
      <c r="R26" s="44"/>
      <c r="S26" s="44"/>
      <c r="T26" s="44"/>
      <c r="U26" s="44"/>
      <c r="V26" s="44"/>
      <c r="W26" s="44"/>
      <c r="X26" s="44"/>
      <c r="Y26" s="44"/>
      <c r="Z26" s="45"/>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82"/>
    </row>
    <row r="27" spans="2:53" ht="10.5" customHeight="1">
      <c r="B27" s="42">
        <v>12</v>
      </c>
      <c r="C27" s="42"/>
      <c r="D27" s="18" t="s">
        <v>471</v>
      </c>
      <c r="E27" s="65">
        <v>6283.3725000000004</v>
      </c>
      <c r="F27" s="65"/>
      <c r="G27" s="65">
        <v>6584.8975</v>
      </c>
      <c r="H27" s="65"/>
      <c r="I27" s="65">
        <v>6588.8</v>
      </c>
      <c r="J27" s="65"/>
      <c r="K27" s="65">
        <v>6454.6</v>
      </c>
      <c r="L27" s="65"/>
      <c r="M27" s="65">
        <v>6202.9</v>
      </c>
      <c r="N27" s="65"/>
      <c r="O27" s="65">
        <v>6298.7580000000007</v>
      </c>
      <c r="P27" s="65"/>
      <c r="Q27" s="65">
        <v>6799.2288421052626</v>
      </c>
      <c r="R27" s="65"/>
      <c r="S27" s="65">
        <v>7149.1410000000005</v>
      </c>
      <c r="T27" s="65"/>
      <c r="U27" s="65">
        <v>7581.3360000000002</v>
      </c>
      <c r="V27" s="65"/>
      <c r="W27" s="65">
        <v>7295.3114880000012</v>
      </c>
      <c r="X27" s="65"/>
      <c r="Y27" s="65">
        <v>7008.2817689999993</v>
      </c>
      <c r="Z27" s="65"/>
      <c r="AA27" s="196">
        <v>6835.163125</v>
      </c>
      <c r="AB27" s="23"/>
      <c r="AC27" s="65">
        <v>6793.0022319999998</v>
      </c>
      <c r="AD27" s="23"/>
      <c r="AE27" s="65">
        <v>6488.5409489326357</v>
      </c>
      <c r="AF27" s="23"/>
      <c r="AG27" s="65">
        <v>6594.6198741081407</v>
      </c>
      <c r="AH27" s="23"/>
      <c r="AI27" s="65">
        <v>6911.297484056643</v>
      </c>
      <c r="AJ27" s="23"/>
      <c r="AK27" s="65">
        <v>7085.8266285665213</v>
      </c>
      <c r="AL27" s="23"/>
      <c r="AM27" s="65">
        <v>7112.5214046443771</v>
      </c>
      <c r="AN27" s="23"/>
      <c r="AO27" s="65">
        <v>7349.7138838068695</v>
      </c>
      <c r="AP27" s="23"/>
      <c r="AQ27" s="65">
        <v>7573.3661382457349</v>
      </c>
      <c r="AR27" s="23"/>
      <c r="AS27" s="65">
        <v>3610.9909040148104</v>
      </c>
      <c r="AT27" s="23"/>
      <c r="AU27" s="65">
        <v>3952.2302486951517</v>
      </c>
      <c r="AV27" s="23"/>
      <c r="AW27" s="17"/>
      <c r="AX27" s="63" t="s">
        <v>532</v>
      </c>
      <c r="AY27" s="82"/>
    </row>
    <row r="28" spans="2:53" ht="10.5" customHeight="1">
      <c r="B28" s="42">
        <v>13</v>
      </c>
      <c r="C28" s="42"/>
      <c r="D28" s="24" t="s">
        <v>524</v>
      </c>
      <c r="E28" s="28">
        <v>295.23249500000003</v>
      </c>
      <c r="F28" s="28"/>
      <c r="G28" s="28">
        <v>344.50891350000012</v>
      </c>
      <c r="H28" s="28"/>
      <c r="I28" s="28">
        <v>384.2525</v>
      </c>
      <c r="J28" s="28"/>
      <c r="K28" s="28">
        <v>399.58776999999998</v>
      </c>
      <c r="L28" s="28"/>
      <c r="M28" s="28">
        <v>425.40100000000001</v>
      </c>
      <c r="N28" s="28"/>
      <c r="O28" s="28">
        <v>459.73812244897954</v>
      </c>
      <c r="P28" s="28"/>
      <c r="Q28" s="28">
        <v>501.82</v>
      </c>
      <c r="R28" s="28"/>
      <c r="S28" s="28">
        <v>487.78299999999996</v>
      </c>
      <c r="T28" s="28"/>
      <c r="U28" s="28">
        <v>430.98099999999994</v>
      </c>
      <c r="V28" s="28"/>
      <c r="W28" s="28">
        <v>340.50403999999997</v>
      </c>
      <c r="X28" s="28"/>
      <c r="Y28" s="28">
        <v>352.18288100000001</v>
      </c>
      <c r="Z28" s="28"/>
      <c r="AA28" s="184">
        <v>173.375</v>
      </c>
      <c r="AB28" s="23"/>
      <c r="AC28" s="28">
        <v>195.85855205815841</v>
      </c>
      <c r="AD28" s="23"/>
      <c r="AE28" s="28">
        <v>168.35636268768454</v>
      </c>
      <c r="AF28" s="23"/>
      <c r="AG28" s="28">
        <v>167.47425179856114</v>
      </c>
      <c r="AH28" s="23"/>
      <c r="AI28" s="28">
        <v>174.98997858319609</v>
      </c>
      <c r="AJ28" s="23"/>
      <c r="AK28" s="28">
        <v>230.47448572805678</v>
      </c>
      <c r="AL28" s="23"/>
      <c r="AM28" s="28">
        <v>215.75339287054706</v>
      </c>
      <c r="AN28" s="23"/>
      <c r="AO28" s="28">
        <v>208.69728037010256</v>
      </c>
      <c r="AP28" s="23"/>
      <c r="AQ28" s="28">
        <v>228.04361965715728</v>
      </c>
      <c r="AR28" s="23"/>
      <c r="AS28" s="28">
        <v>128.74919108008487</v>
      </c>
      <c r="AT28" s="23"/>
      <c r="AU28" s="28">
        <v>184.55359999999999</v>
      </c>
      <c r="AV28" s="23"/>
      <c r="AW28" s="17"/>
      <c r="AX28" s="16" t="s">
        <v>533</v>
      </c>
      <c r="AY28" s="82"/>
    </row>
    <row r="29" spans="2:53" ht="10.5" customHeight="1">
      <c r="B29" s="42"/>
      <c r="C29" s="42"/>
      <c r="D29" s="16" t="s">
        <v>523</v>
      </c>
      <c r="E29" s="28"/>
      <c r="F29" s="28"/>
      <c r="G29" s="28"/>
      <c r="H29" s="28"/>
      <c r="I29" s="28"/>
      <c r="J29" s="28"/>
      <c r="K29" s="28"/>
      <c r="L29" s="28"/>
      <c r="M29" s="28"/>
      <c r="N29" s="28"/>
      <c r="O29" s="28"/>
      <c r="P29" s="28"/>
      <c r="Q29" s="28"/>
      <c r="R29" s="28"/>
      <c r="S29" s="28"/>
      <c r="T29" s="28"/>
      <c r="U29" s="28"/>
      <c r="V29" s="28"/>
      <c r="W29" s="28"/>
      <c r="X29" s="28"/>
      <c r="Y29" s="28"/>
      <c r="Z29" s="28"/>
      <c r="AA29" s="28"/>
      <c r="AB29" s="23"/>
      <c r="AC29" s="28"/>
      <c r="AD29" s="23"/>
      <c r="AE29" s="28"/>
      <c r="AF29" s="23"/>
      <c r="AG29" s="28"/>
      <c r="AH29" s="23"/>
      <c r="AI29" s="28"/>
      <c r="AJ29" s="23"/>
      <c r="AK29" s="28"/>
      <c r="AL29" s="23"/>
      <c r="AM29" s="28"/>
      <c r="AN29" s="23"/>
      <c r="AO29" s="28"/>
      <c r="AP29" s="23"/>
      <c r="AQ29" s="28"/>
      <c r="AR29" s="23"/>
      <c r="AS29" s="28"/>
      <c r="AT29" s="23"/>
      <c r="AU29" s="28"/>
      <c r="AV29" s="23"/>
      <c r="AW29" s="17"/>
      <c r="AX29" s="16" t="s">
        <v>534</v>
      </c>
      <c r="AY29" s="82"/>
    </row>
    <row r="30" spans="2:53" ht="10.5" customHeight="1">
      <c r="B30" s="42"/>
      <c r="C30" s="42"/>
      <c r="D30" s="24"/>
      <c r="E30" s="28"/>
      <c r="F30" s="28"/>
      <c r="G30" s="28"/>
      <c r="H30" s="28"/>
      <c r="I30" s="28"/>
      <c r="J30" s="28"/>
      <c r="K30" s="28"/>
      <c r="L30" s="28"/>
      <c r="M30" s="28"/>
      <c r="N30" s="28"/>
      <c r="O30" s="28"/>
      <c r="P30" s="28"/>
      <c r="Q30" s="28"/>
      <c r="R30" s="28"/>
      <c r="S30" s="28"/>
      <c r="T30" s="28"/>
      <c r="U30" s="28"/>
      <c r="V30" s="28"/>
      <c r="W30" s="28"/>
      <c r="X30" s="28"/>
      <c r="Y30" s="28"/>
      <c r="Z30" s="28"/>
      <c r="AA30" s="28"/>
      <c r="AB30" s="23"/>
      <c r="AC30" s="28"/>
      <c r="AD30" s="23"/>
      <c r="AE30" s="28"/>
      <c r="AF30" s="23"/>
      <c r="AG30" s="28"/>
      <c r="AH30" s="23"/>
      <c r="AI30" s="28"/>
      <c r="AJ30" s="23"/>
      <c r="AK30" s="28"/>
      <c r="AL30" s="23"/>
      <c r="AM30" s="28"/>
      <c r="AN30" s="23"/>
      <c r="AO30" s="28"/>
      <c r="AP30" s="23"/>
      <c r="AQ30" s="28"/>
      <c r="AR30" s="23"/>
      <c r="AS30" s="28"/>
      <c r="AT30" s="23"/>
      <c r="AU30" s="28"/>
      <c r="AV30" s="23"/>
      <c r="AW30" s="17"/>
      <c r="AX30" s="16"/>
      <c r="AY30" s="82"/>
    </row>
    <row r="31" spans="2:53" ht="10.5" customHeight="1">
      <c r="B31" s="42">
        <v>14</v>
      </c>
      <c r="C31" s="42"/>
      <c r="D31" s="18" t="s">
        <v>522</v>
      </c>
      <c r="E31" s="65">
        <v>1959.8219999999997</v>
      </c>
      <c r="F31" s="65"/>
      <c r="G31" s="65">
        <v>2146.8620000000001</v>
      </c>
      <c r="H31" s="65"/>
      <c r="I31" s="65">
        <v>2285.4</v>
      </c>
      <c r="J31" s="65"/>
      <c r="K31" s="65">
        <v>2378.9959653326537</v>
      </c>
      <c r="L31" s="65"/>
      <c r="M31" s="65">
        <v>2454.9251726784341</v>
      </c>
      <c r="N31" s="65"/>
      <c r="O31" s="65">
        <v>2637.2999999999997</v>
      </c>
      <c r="P31" s="65"/>
      <c r="Q31" s="65">
        <v>2817.6129629629627</v>
      </c>
      <c r="R31" s="65"/>
      <c r="S31" s="65">
        <v>3111.3999999999996</v>
      </c>
      <c r="T31" s="65"/>
      <c r="U31" s="65">
        <v>3564.8850000000002</v>
      </c>
      <c r="V31" s="65"/>
      <c r="W31" s="65">
        <v>4026.0219999999999</v>
      </c>
      <c r="X31" s="65"/>
      <c r="Y31" s="65">
        <v>4147.1378940000004</v>
      </c>
      <c r="Z31" s="65"/>
      <c r="AA31" s="196">
        <v>4543.2132190142602</v>
      </c>
      <c r="AB31" s="23"/>
      <c r="AC31" s="65">
        <v>4999.1357741905467</v>
      </c>
      <c r="AD31" s="23"/>
      <c r="AE31" s="65">
        <v>5353.1177719497337</v>
      </c>
      <c r="AF31" s="23"/>
      <c r="AG31" s="65">
        <v>5526.5576305485865</v>
      </c>
      <c r="AH31" s="23"/>
      <c r="AI31" s="65">
        <v>5738.6462924008729</v>
      </c>
      <c r="AJ31" s="23"/>
      <c r="AK31" s="65">
        <v>5714.4848555536682</v>
      </c>
      <c r="AL31" s="23"/>
      <c r="AM31" s="65">
        <v>6218.0909808252272</v>
      </c>
      <c r="AN31" s="23"/>
      <c r="AO31" s="65">
        <v>6197.0843634485964</v>
      </c>
      <c r="AP31" s="23"/>
      <c r="AQ31" s="65">
        <v>7043.8410958749055</v>
      </c>
      <c r="AR31" s="23"/>
      <c r="AS31" s="65">
        <v>4517.7537606767883</v>
      </c>
      <c r="AT31" s="23"/>
      <c r="AU31" s="65">
        <v>4075.2590488550009</v>
      </c>
      <c r="AV31" s="23"/>
      <c r="AW31" s="17"/>
      <c r="AX31" s="63" t="s">
        <v>536</v>
      </c>
      <c r="AY31" s="28"/>
    </row>
    <row r="32" spans="2:53" ht="10.5" customHeight="1">
      <c r="B32" s="42"/>
      <c r="C32" s="42"/>
      <c r="D32" s="24"/>
      <c r="E32" s="28"/>
      <c r="F32" s="28"/>
      <c r="G32" s="28"/>
      <c r="H32" s="28"/>
      <c r="I32" s="28"/>
      <c r="J32" s="28"/>
      <c r="K32" s="28"/>
      <c r="L32" s="28"/>
      <c r="M32" s="28"/>
      <c r="N32" s="28"/>
      <c r="O32" s="28"/>
      <c r="P32" s="28"/>
      <c r="Q32" s="28"/>
      <c r="R32" s="28"/>
      <c r="S32" s="28"/>
      <c r="T32" s="28"/>
      <c r="U32" s="28"/>
      <c r="V32" s="28"/>
      <c r="W32" s="28"/>
      <c r="X32" s="28"/>
      <c r="Y32" s="28"/>
      <c r="Z32" s="28"/>
      <c r="AA32" s="28"/>
      <c r="AB32" s="23"/>
      <c r="AC32" s="28"/>
      <c r="AD32" s="23"/>
      <c r="AE32" s="28"/>
      <c r="AF32" s="23"/>
      <c r="AG32" s="28"/>
      <c r="AH32" s="23"/>
      <c r="AI32" s="28"/>
      <c r="AJ32" s="23"/>
      <c r="AK32" s="28"/>
      <c r="AL32" s="23"/>
      <c r="AM32" s="28"/>
      <c r="AN32" s="23"/>
      <c r="AO32" s="28"/>
      <c r="AP32" s="23"/>
      <c r="AQ32" s="28"/>
      <c r="AR32" s="23"/>
      <c r="AS32" s="28"/>
      <c r="AT32" s="23"/>
      <c r="AU32" s="28"/>
      <c r="AV32" s="23"/>
      <c r="AW32" s="17"/>
      <c r="AX32" s="24"/>
      <c r="AY32" s="82"/>
    </row>
    <row r="33" spans="2:56" ht="10.5" customHeight="1">
      <c r="B33" s="42">
        <v>15</v>
      </c>
      <c r="C33" s="42"/>
      <c r="D33" s="18" t="s">
        <v>68</v>
      </c>
      <c r="E33" s="65">
        <v>8243.1944999999996</v>
      </c>
      <c r="F33" s="65"/>
      <c r="G33" s="65">
        <v>8731.7595000000001</v>
      </c>
      <c r="H33" s="65"/>
      <c r="I33" s="65">
        <v>8874.2000000000007</v>
      </c>
      <c r="J33" s="65"/>
      <c r="K33" s="65">
        <v>8833.5959653326536</v>
      </c>
      <c r="L33" s="65"/>
      <c r="M33" s="65">
        <v>8657.8251726784347</v>
      </c>
      <c r="N33" s="65"/>
      <c r="O33" s="65">
        <v>8936.0579999999991</v>
      </c>
      <c r="P33" s="65"/>
      <c r="Q33" s="65">
        <v>9616.8418050682267</v>
      </c>
      <c r="R33" s="65"/>
      <c r="S33" s="65">
        <v>10260.541000000001</v>
      </c>
      <c r="T33" s="65"/>
      <c r="U33" s="65">
        <v>11146.221000000001</v>
      </c>
      <c r="V33" s="65"/>
      <c r="W33" s="65">
        <v>11321.333487999998</v>
      </c>
      <c r="X33" s="65"/>
      <c r="Y33" s="65">
        <v>11155.419663000001</v>
      </c>
      <c r="Z33" s="65"/>
      <c r="AA33" s="65">
        <v>11378.376344014263</v>
      </c>
      <c r="AB33" s="23"/>
      <c r="AC33" s="65">
        <v>11792.138006190546</v>
      </c>
      <c r="AD33" s="23"/>
      <c r="AE33" s="65">
        <v>11841.664720882367</v>
      </c>
      <c r="AF33" s="23"/>
      <c r="AG33" s="65">
        <v>12121.177504656727</v>
      </c>
      <c r="AH33" s="23"/>
      <c r="AI33" s="65">
        <v>12649.943776457516</v>
      </c>
      <c r="AJ33" s="23"/>
      <c r="AK33" s="65">
        <v>12800.31148412019</v>
      </c>
      <c r="AL33" s="23"/>
      <c r="AM33" s="65">
        <v>13330.612385469605</v>
      </c>
      <c r="AN33" s="23"/>
      <c r="AO33" s="65">
        <v>13546.798247255467</v>
      </c>
      <c r="AP33" s="23"/>
      <c r="AQ33" s="65">
        <v>14617.20723412064</v>
      </c>
      <c r="AR33" s="23"/>
      <c r="AS33" s="65">
        <v>8128.7446646915987</v>
      </c>
      <c r="AT33" s="23"/>
      <c r="AU33" s="65">
        <v>8027.4892975501525</v>
      </c>
      <c r="AV33" s="23"/>
      <c r="AW33" s="17"/>
      <c r="AX33" s="18" t="s">
        <v>84</v>
      </c>
      <c r="AY33" s="28"/>
    </row>
    <row r="34" spans="2:56" ht="10.5" customHeight="1">
      <c r="B34" s="42">
        <v>16</v>
      </c>
      <c r="C34" s="42"/>
      <c r="D34" s="24" t="s">
        <v>609</v>
      </c>
      <c r="E34" s="28">
        <v>4857.1400050000002</v>
      </c>
      <c r="F34" s="28"/>
      <c r="G34" s="28">
        <v>4980.3885865000002</v>
      </c>
      <c r="H34" s="28"/>
      <c r="I34" s="28">
        <v>5018.2475000000004</v>
      </c>
      <c r="J34" s="28"/>
      <c r="K34" s="28">
        <v>4905.0122300000003</v>
      </c>
      <c r="L34" s="28"/>
      <c r="M34" s="28">
        <v>4773.0990000000002</v>
      </c>
      <c r="N34" s="28"/>
      <c r="O34" s="28">
        <v>4943.9198775510213</v>
      </c>
      <c r="P34" s="28"/>
      <c r="Q34" s="28">
        <v>5354.5088421052633</v>
      </c>
      <c r="R34" s="28"/>
      <c r="S34" s="28">
        <v>5659.5579999999991</v>
      </c>
      <c r="T34" s="28"/>
      <c r="U34" s="28">
        <v>6252.2550000000001</v>
      </c>
      <c r="V34" s="28"/>
      <c r="W34" s="28">
        <v>6042.5074480000003</v>
      </c>
      <c r="X34" s="28"/>
      <c r="Y34" s="28">
        <v>5902.0710159999999</v>
      </c>
      <c r="Z34" s="28"/>
      <c r="AA34" s="28">
        <v>6083.6483440000002</v>
      </c>
      <c r="AB34" s="23"/>
      <c r="AC34" s="28">
        <v>6128.6206799418414</v>
      </c>
      <c r="AD34" s="23"/>
      <c r="AE34" s="28">
        <v>5925.0845862449505</v>
      </c>
      <c r="AF34" s="23"/>
      <c r="AG34" s="28">
        <v>6083.4456223095794</v>
      </c>
      <c r="AH34" s="23"/>
      <c r="AI34" s="28">
        <v>6332.0075054734471</v>
      </c>
      <c r="AJ34" s="23"/>
      <c r="AK34" s="28">
        <v>6470.9156278384644</v>
      </c>
      <c r="AL34" s="23"/>
      <c r="AM34" s="28">
        <v>6495.7967607738301</v>
      </c>
      <c r="AN34" s="23"/>
      <c r="AO34" s="28">
        <v>6730.9013184367677</v>
      </c>
      <c r="AP34" s="23"/>
      <c r="AQ34" s="28">
        <v>6866.0078445885774</v>
      </c>
      <c r="AR34" s="23"/>
      <c r="AS34" s="28">
        <v>3160.8897149347263</v>
      </c>
      <c r="AT34" s="23"/>
      <c r="AU34" s="28">
        <v>3611.1926536951523</v>
      </c>
      <c r="AV34" s="23"/>
      <c r="AW34" s="17"/>
      <c r="AX34" s="24" t="s">
        <v>643</v>
      </c>
      <c r="AY34" s="82"/>
      <c r="BA34" s="33"/>
    </row>
    <row r="35" spans="2:56" ht="10.5" customHeight="1">
      <c r="B35" s="42">
        <v>17</v>
      </c>
      <c r="C35" s="42"/>
      <c r="D35" s="24" t="s">
        <v>508</v>
      </c>
      <c r="E35" s="28">
        <v>1304.3800000000001</v>
      </c>
      <c r="F35" s="28"/>
      <c r="G35" s="28">
        <v>1452.6</v>
      </c>
      <c r="H35" s="28"/>
      <c r="I35" s="28">
        <v>1418.3999999999999</v>
      </c>
      <c r="J35" s="28"/>
      <c r="K35" s="28">
        <v>1410.0819653326535</v>
      </c>
      <c r="L35" s="28"/>
      <c r="M35" s="28">
        <v>1298.0251726784345</v>
      </c>
      <c r="N35" s="28"/>
      <c r="O35" s="28">
        <v>1256.2</v>
      </c>
      <c r="P35" s="28"/>
      <c r="Q35" s="28">
        <v>1279.4129629629629</v>
      </c>
      <c r="R35" s="28"/>
      <c r="S35" s="28">
        <v>1375.6</v>
      </c>
      <c r="T35" s="28"/>
      <c r="U35" s="28">
        <v>1387.473</v>
      </c>
      <c r="V35" s="28"/>
      <c r="W35" s="28">
        <v>1369.6320000000001</v>
      </c>
      <c r="X35" s="28"/>
      <c r="Y35" s="28">
        <v>1202.9057660000001</v>
      </c>
      <c r="Z35" s="28"/>
      <c r="AA35" s="28">
        <v>1222.0427810000001</v>
      </c>
      <c r="AB35" s="23"/>
      <c r="AC35" s="28">
        <v>1201.6219999999998</v>
      </c>
      <c r="AD35" s="23"/>
      <c r="AE35" s="28">
        <v>1270.1284029231765</v>
      </c>
      <c r="AF35" s="23"/>
      <c r="AG35" s="28">
        <v>1175.1391938441375</v>
      </c>
      <c r="AH35" s="23"/>
      <c r="AI35" s="28">
        <v>1275.7356229215779</v>
      </c>
      <c r="AJ35" s="23"/>
      <c r="AK35" s="28">
        <v>791.36401089041101</v>
      </c>
      <c r="AL35" s="23"/>
      <c r="AM35" s="28">
        <v>897.24960299999998</v>
      </c>
      <c r="AN35" s="23"/>
      <c r="AO35" s="262">
        <v>781.09489499999995</v>
      </c>
      <c r="AP35" s="23"/>
      <c r="AQ35" s="28">
        <v>1169.688541</v>
      </c>
      <c r="AR35" s="23"/>
      <c r="AS35" s="28">
        <v>770.5664000926281</v>
      </c>
      <c r="AT35" s="23"/>
      <c r="AU35" s="28">
        <v>543.86694086389343</v>
      </c>
      <c r="AV35" s="23"/>
      <c r="AW35" s="17"/>
      <c r="AX35" s="24" t="s">
        <v>641</v>
      </c>
      <c r="AY35" s="411"/>
      <c r="AZ35" s="411"/>
      <c r="BA35" s="33"/>
      <c r="BB35" s="411"/>
      <c r="BD35" s="411"/>
    </row>
    <row r="36" spans="2:56" ht="10.5" customHeight="1">
      <c r="B36" s="42">
        <v>18</v>
      </c>
      <c r="C36" s="42"/>
      <c r="D36" s="24" t="s">
        <v>630</v>
      </c>
      <c r="E36" s="28">
        <v>2081.6744950000002</v>
      </c>
      <c r="F36" s="28"/>
      <c r="G36" s="28">
        <v>2298.7709134999996</v>
      </c>
      <c r="H36" s="28"/>
      <c r="I36" s="28">
        <v>2437.5525000000007</v>
      </c>
      <c r="J36" s="28"/>
      <c r="K36" s="28">
        <v>2518.5017700000008</v>
      </c>
      <c r="L36" s="28"/>
      <c r="M36" s="28">
        <v>2586.7009999999991</v>
      </c>
      <c r="N36" s="28"/>
      <c r="O36" s="28">
        <v>2735.9381224489807</v>
      </c>
      <c r="P36" s="28"/>
      <c r="Q36" s="28">
        <v>2982.9199999999996</v>
      </c>
      <c r="R36" s="28"/>
      <c r="S36" s="28">
        <v>3225.3830000000003</v>
      </c>
      <c r="T36" s="28"/>
      <c r="U36" s="28">
        <v>3506.4930000000004</v>
      </c>
      <c r="V36" s="28"/>
      <c r="W36" s="28">
        <v>3909.1940399999999</v>
      </c>
      <c r="X36" s="28"/>
      <c r="Y36" s="28">
        <v>4050.4428809999999</v>
      </c>
      <c r="Z36" s="28"/>
      <c r="AA36" s="28">
        <v>4072.6852190142599</v>
      </c>
      <c r="AB36" s="23"/>
      <c r="AC36" s="28">
        <v>4461.8953262487048</v>
      </c>
      <c r="AD36" s="23"/>
      <c r="AE36" s="28">
        <v>4646.4457317142424</v>
      </c>
      <c r="AF36" s="23"/>
      <c r="AG36" s="28">
        <v>4862.5926885030103</v>
      </c>
      <c r="AH36" s="23"/>
      <c r="AI36" s="28">
        <v>5042.2006480624896</v>
      </c>
      <c r="AJ36" s="23"/>
      <c r="AK36" s="28">
        <v>5538.0318453913142</v>
      </c>
      <c r="AL36" s="23"/>
      <c r="AM36" s="28">
        <v>5937.566021695774</v>
      </c>
      <c r="AN36" s="23"/>
      <c r="AO36" s="28">
        <v>6034.8020338186989</v>
      </c>
      <c r="AP36" s="23"/>
      <c r="AQ36" s="28">
        <v>6581.5108485320634</v>
      </c>
      <c r="AR36" s="23"/>
      <c r="AS36" s="28">
        <v>4197.2885496642448</v>
      </c>
      <c r="AT36" s="23"/>
      <c r="AU36" s="28">
        <v>3872.4297029911068</v>
      </c>
      <c r="AV36" s="23"/>
      <c r="AW36" s="17"/>
      <c r="AX36" s="24" t="s">
        <v>642</v>
      </c>
      <c r="AY36" s="411"/>
      <c r="AZ36" s="411"/>
      <c r="BA36" s="33"/>
      <c r="BB36" s="411"/>
      <c r="BD36" s="411"/>
    </row>
    <row r="37" spans="2:56" ht="10.5" customHeight="1">
      <c r="B37" s="42">
        <v>19</v>
      </c>
      <c r="C37" s="42"/>
      <c r="D37" s="24" t="s">
        <v>509</v>
      </c>
      <c r="E37" s="28">
        <v>2047</v>
      </c>
      <c r="F37" s="28"/>
      <c r="G37" s="28">
        <v>2226.6999999999998</v>
      </c>
      <c r="H37" s="28"/>
      <c r="I37" s="28">
        <v>2390</v>
      </c>
      <c r="J37" s="28"/>
      <c r="K37" s="28">
        <v>2400</v>
      </c>
      <c r="L37" s="28"/>
      <c r="M37" s="28">
        <v>2411</v>
      </c>
      <c r="N37" s="28"/>
      <c r="O37" s="28">
        <v>2319</v>
      </c>
      <c r="P37" s="28"/>
      <c r="Q37" s="28">
        <v>2481.096</v>
      </c>
      <c r="R37" s="28"/>
      <c r="S37" s="28">
        <v>2740.2</v>
      </c>
      <c r="T37" s="28"/>
      <c r="U37" s="28">
        <v>2967.4</v>
      </c>
      <c r="V37" s="28"/>
      <c r="W37" s="28">
        <v>3031</v>
      </c>
      <c r="X37" s="28"/>
      <c r="Y37" s="28">
        <v>2907</v>
      </c>
      <c r="Z37" s="28"/>
      <c r="AA37" s="28">
        <v>2827</v>
      </c>
      <c r="AB37" s="23"/>
      <c r="AC37" s="28">
        <v>2948</v>
      </c>
      <c r="AD37" s="23"/>
      <c r="AE37" s="28">
        <v>3055</v>
      </c>
      <c r="AF37" s="23"/>
      <c r="AG37" s="28">
        <v>3228</v>
      </c>
      <c r="AH37" s="23"/>
      <c r="AI37" s="26" t="s">
        <v>78</v>
      </c>
      <c r="AJ37" s="23"/>
      <c r="AK37" s="26" t="s">
        <v>78</v>
      </c>
      <c r="AL37" s="23"/>
      <c r="AM37" s="26" t="s">
        <v>78</v>
      </c>
      <c r="AN37" s="23"/>
      <c r="AO37" s="26" t="s">
        <v>78</v>
      </c>
      <c r="AP37" s="23"/>
      <c r="AQ37" s="26" t="s">
        <v>78</v>
      </c>
      <c r="AR37" s="23"/>
      <c r="AS37" s="306" t="s">
        <v>78</v>
      </c>
      <c r="AT37" s="23"/>
      <c r="AU37" s="306" t="s">
        <v>78</v>
      </c>
      <c r="AV37" s="23"/>
      <c r="AW37" s="17"/>
      <c r="AX37" s="24" t="s">
        <v>510</v>
      </c>
      <c r="AY37" s="411"/>
      <c r="AZ37" s="411"/>
      <c r="BB37" s="411"/>
      <c r="BD37" s="411"/>
    </row>
    <row r="38" spans="2:56" ht="10.5" customHeight="1">
      <c r="B38" s="42">
        <v>20</v>
      </c>
      <c r="C38" s="42"/>
      <c r="D38" s="24" t="s">
        <v>744</v>
      </c>
      <c r="E38" s="28">
        <v>536.98877199999993</v>
      </c>
      <c r="F38" s="28"/>
      <c r="G38" s="28">
        <v>752.77083800000003</v>
      </c>
      <c r="H38" s="28"/>
      <c r="I38" s="28">
        <v>887.68</v>
      </c>
      <c r="J38" s="28"/>
      <c r="K38" s="28">
        <v>856.8</v>
      </c>
      <c r="L38" s="28"/>
      <c r="M38" s="28">
        <v>645.048</v>
      </c>
      <c r="N38" s="28"/>
      <c r="O38" s="28">
        <v>597.50499999999988</v>
      </c>
      <c r="P38" s="28"/>
      <c r="Q38" s="28">
        <v>580.28784210526305</v>
      </c>
      <c r="R38" s="28"/>
      <c r="S38" s="28">
        <v>493.64100000000002</v>
      </c>
      <c r="T38" s="28"/>
      <c r="U38" s="28">
        <v>536.57599999999991</v>
      </c>
      <c r="V38" s="28"/>
      <c r="W38" s="28">
        <v>615.20500000000004</v>
      </c>
      <c r="X38" s="28"/>
      <c r="Y38" s="28">
        <v>538.54679999999996</v>
      </c>
      <c r="Z38" s="28"/>
      <c r="AA38" s="28">
        <v>550.66399999999999</v>
      </c>
      <c r="AB38" s="23"/>
      <c r="AC38" s="28">
        <v>461.93661600000001</v>
      </c>
      <c r="AD38" s="23"/>
      <c r="AE38" s="28">
        <v>483.11813450460392</v>
      </c>
      <c r="AF38" s="23"/>
      <c r="AG38" s="28">
        <v>492.64236531022527</v>
      </c>
      <c r="AH38" s="23"/>
      <c r="AI38" s="28">
        <v>529.0360864597518</v>
      </c>
      <c r="AJ38" s="23"/>
      <c r="AK38" s="28">
        <v>467.24103128525121</v>
      </c>
      <c r="AL38" s="23"/>
      <c r="AM38" s="28">
        <v>591.40213189532324</v>
      </c>
      <c r="AN38" s="23"/>
      <c r="AO38" s="28">
        <v>489.17746621778286</v>
      </c>
      <c r="AP38" s="23"/>
      <c r="AQ38" s="28">
        <v>618.9309157387936</v>
      </c>
      <c r="AR38" s="23"/>
      <c r="AS38" s="28">
        <v>155.97296255977253</v>
      </c>
      <c r="AT38" s="23"/>
      <c r="AU38" s="28">
        <v>163.99085728707215</v>
      </c>
      <c r="AV38" s="23"/>
      <c r="AW38" s="17"/>
      <c r="AX38" s="24" t="s">
        <v>746</v>
      </c>
      <c r="AY38" s="82"/>
    </row>
    <row r="39" spans="2:56" ht="11.25" customHeight="1">
      <c r="B39" s="42">
        <v>21</v>
      </c>
      <c r="C39" s="42"/>
      <c r="D39" s="24" t="s">
        <v>745</v>
      </c>
      <c r="E39" s="28">
        <v>3009.2469999999998</v>
      </c>
      <c r="F39" s="28"/>
      <c r="G39" s="28">
        <v>3191.2594999999997</v>
      </c>
      <c r="H39" s="28"/>
      <c r="I39" s="28">
        <v>3323.6</v>
      </c>
      <c r="J39" s="28"/>
      <c r="K39" s="28">
        <v>3397.9959653326532</v>
      </c>
      <c r="L39" s="28"/>
      <c r="M39" s="28">
        <v>3445.6951726784346</v>
      </c>
      <c r="N39" s="28"/>
      <c r="O39" s="28">
        <v>3723.4940000000001</v>
      </c>
      <c r="P39" s="28"/>
      <c r="Q39" s="28">
        <v>3936.4919629629626</v>
      </c>
      <c r="R39" s="28"/>
      <c r="S39" s="28">
        <v>4233.1000000000004</v>
      </c>
      <c r="T39" s="28"/>
      <c r="U39" s="28">
        <v>4664.660141450252</v>
      </c>
      <c r="V39" s="28"/>
      <c r="W39" s="28">
        <v>4876.8581458172803</v>
      </c>
      <c r="X39" s="28"/>
      <c r="Y39" s="28">
        <v>5047.079999999999</v>
      </c>
      <c r="Z39" s="28"/>
      <c r="AA39" s="28">
        <v>5184.3911050142588</v>
      </c>
      <c r="AB39" s="23"/>
      <c r="AC39" s="28">
        <v>5535.4518477769479</v>
      </c>
      <c r="AD39" s="23"/>
      <c r="AE39" s="28">
        <v>5733.2901064768421</v>
      </c>
      <c r="AF39" s="23"/>
      <c r="AG39" s="28">
        <v>5914.6483578056141</v>
      </c>
      <c r="AH39" s="23"/>
      <c r="AI39" s="28">
        <v>6121.1604908284298</v>
      </c>
      <c r="AJ39" s="23"/>
      <c r="AK39" s="28">
        <v>6151.9518630371695</v>
      </c>
      <c r="AL39" s="23"/>
      <c r="AM39" s="28">
        <v>6350.7371180672908</v>
      </c>
      <c r="AN39" s="23"/>
      <c r="AO39" s="28">
        <v>6520.5203691610113</v>
      </c>
      <c r="AP39" s="23"/>
      <c r="AQ39" s="28">
        <v>7229.7788959541804</v>
      </c>
      <c r="AR39" s="23" t="s">
        <v>810</v>
      </c>
      <c r="AS39" s="28">
        <v>4527.436875669825</v>
      </c>
      <c r="AT39" s="23"/>
      <c r="AU39" s="28">
        <v>4275.3578441775808</v>
      </c>
      <c r="AV39" s="23"/>
      <c r="AW39" s="17"/>
      <c r="AX39" s="24" t="s">
        <v>747</v>
      </c>
      <c r="AY39" s="28"/>
    </row>
    <row r="40" spans="2:56" ht="11.25" customHeight="1">
      <c r="B40" s="42">
        <v>22</v>
      </c>
      <c r="C40" s="42"/>
      <c r="D40" s="24" t="s">
        <v>861</v>
      </c>
      <c r="E40" s="28">
        <v>5233.9475000000002</v>
      </c>
      <c r="F40" s="28"/>
      <c r="G40" s="28">
        <v>5540.5</v>
      </c>
      <c r="H40" s="28"/>
      <c r="I40" s="28">
        <v>5550.6</v>
      </c>
      <c r="J40" s="28"/>
      <c r="K40" s="28">
        <v>5435.6</v>
      </c>
      <c r="L40" s="28"/>
      <c r="M40" s="28">
        <v>5212.13</v>
      </c>
      <c r="N40" s="28"/>
      <c r="O40" s="28">
        <v>5212.5639999999985</v>
      </c>
      <c r="P40" s="28"/>
      <c r="Q40" s="28">
        <v>5680.3498421052645</v>
      </c>
      <c r="R40" s="28"/>
      <c r="S40" s="28">
        <v>6027.4410000000007</v>
      </c>
      <c r="T40" s="28"/>
      <c r="U40" s="28">
        <v>6481.5608585497494</v>
      </c>
      <c r="V40" s="28"/>
      <c r="W40" s="28">
        <v>6444.4753421827181</v>
      </c>
      <c r="X40" s="28"/>
      <c r="Y40" s="28">
        <v>6108.3396630000016</v>
      </c>
      <c r="Z40" s="28"/>
      <c r="AA40" s="28">
        <v>6193.9852390000042</v>
      </c>
      <c r="AB40" s="28"/>
      <c r="AC40" s="28">
        <v>6256.6861584135977</v>
      </c>
      <c r="AD40" s="28"/>
      <c r="AE40" s="28">
        <v>6108.3746144055249</v>
      </c>
      <c r="AF40" s="28"/>
      <c r="AG40" s="28">
        <v>6206.5291468511132</v>
      </c>
      <c r="AH40" s="28"/>
      <c r="AI40" s="28">
        <v>6528.7832856290861</v>
      </c>
      <c r="AJ40" s="28"/>
      <c r="AK40" s="28">
        <v>6648.3596210830201</v>
      </c>
      <c r="AL40" s="28"/>
      <c r="AM40" s="28">
        <v>6979.8752674023144</v>
      </c>
      <c r="AN40" s="28"/>
      <c r="AO40" s="28">
        <v>7026.2778780944554</v>
      </c>
      <c r="AP40" s="23"/>
      <c r="AQ40" s="28">
        <v>7387.42833816646</v>
      </c>
      <c r="AR40" s="23" t="s">
        <v>810</v>
      </c>
      <c r="AS40" s="28">
        <v>3601.3077890217724</v>
      </c>
      <c r="AT40" s="23"/>
      <c r="AU40" s="28">
        <v>3752.1314533725727</v>
      </c>
      <c r="AV40" s="23"/>
      <c r="AW40" s="17"/>
      <c r="AX40" s="24" t="s">
        <v>862</v>
      </c>
      <c r="AY40" s="28"/>
    </row>
    <row r="41" spans="2:56" ht="6" customHeight="1">
      <c r="B41" s="80"/>
      <c r="C41" s="80"/>
      <c r="D41" s="46"/>
      <c r="E41" s="47"/>
      <c r="F41" s="48"/>
      <c r="G41" s="47"/>
      <c r="H41" s="48"/>
      <c r="I41" s="47"/>
      <c r="J41" s="48"/>
      <c r="K41" s="47"/>
      <c r="L41" s="48"/>
      <c r="M41" s="47"/>
      <c r="N41" s="48"/>
      <c r="O41" s="47"/>
      <c r="P41" s="48"/>
      <c r="Q41" s="47"/>
      <c r="R41" s="48"/>
      <c r="S41" s="48"/>
      <c r="T41" s="49"/>
      <c r="U41" s="47"/>
      <c r="V41" s="48"/>
      <c r="W41" s="47"/>
      <c r="X41" s="48"/>
      <c r="Y41" s="47"/>
      <c r="Z41" s="50"/>
      <c r="AA41" s="47"/>
      <c r="AB41" s="51"/>
      <c r="AC41" s="51"/>
      <c r="AD41" s="51"/>
      <c r="AE41" s="47"/>
      <c r="AF41" s="51"/>
      <c r="AG41" s="47"/>
      <c r="AH41" s="51"/>
      <c r="AI41" s="47"/>
      <c r="AJ41" s="51"/>
      <c r="AK41" s="47"/>
      <c r="AL41" s="51"/>
      <c r="AM41" s="47"/>
      <c r="AN41" s="51"/>
      <c r="AO41" s="47"/>
      <c r="AP41" s="51"/>
      <c r="AQ41" s="47"/>
      <c r="AR41" s="51"/>
      <c r="AS41" s="47"/>
      <c r="AT41" s="51"/>
      <c r="AU41" s="51"/>
      <c r="AV41" s="51"/>
      <c r="AW41" s="14"/>
      <c r="AX41" s="46"/>
    </row>
    <row r="42" spans="2:56" ht="6" customHeight="1">
      <c r="B42" s="10"/>
      <c r="C42" s="42"/>
      <c r="E42" s="2"/>
      <c r="F42" s="2"/>
      <c r="G42" s="2"/>
      <c r="H42" s="2"/>
      <c r="I42" s="2"/>
      <c r="J42" s="2"/>
      <c r="K42" s="2"/>
      <c r="L42" s="2"/>
      <c r="M42" s="2"/>
      <c r="N42" s="2"/>
      <c r="O42" s="2"/>
      <c r="P42" s="2"/>
      <c r="Q42" s="2"/>
      <c r="R42" s="2"/>
    </row>
    <row r="43" spans="2:56" ht="21" customHeight="1">
      <c r="B43" s="548" t="s">
        <v>1204</v>
      </c>
      <c r="C43" s="548"/>
      <c r="D43" s="548"/>
      <c r="E43" s="548"/>
      <c r="F43" s="548"/>
      <c r="G43" s="548"/>
      <c r="H43" s="548"/>
      <c r="I43" s="548"/>
      <c r="J43" s="548"/>
      <c r="K43" s="548"/>
      <c r="L43" s="548"/>
      <c r="M43" s="548"/>
      <c r="N43" s="548"/>
      <c r="O43" s="548"/>
      <c r="P43" s="548"/>
      <c r="Q43" s="548"/>
      <c r="R43" s="548"/>
      <c r="S43" s="548"/>
      <c r="T43" s="548"/>
      <c r="U43" s="548"/>
      <c r="V43" s="548"/>
      <c r="W43" s="548"/>
      <c r="X43" s="548"/>
      <c r="Y43" s="548"/>
      <c r="Z43" s="548"/>
      <c r="AA43" s="548"/>
      <c r="AB43" s="548"/>
      <c r="AC43" s="548"/>
      <c r="AD43" s="548"/>
      <c r="AE43" s="548"/>
      <c r="AF43" s="548"/>
      <c r="AG43" s="548"/>
      <c r="AH43" s="548"/>
      <c r="AI43" s="548"/>
      <c r="AJ43" s="548"/>
      <c r="AK43" s="548"/>
      <c r="AL43" s="548"/>
      <c r="AM43" s="548"/>
      <c r="AN43" s="548"/>
      <c r="AO43" s="548"/>
      <c r="AP43" s="548"/>
      <c r="AQ43" s="548"/>
      <c r="AR43" s="548"/>
      <c r="AS43" s="548"/>
      <c r="AT43" s="548"/>
      <c r="AU43" s="548"/>
      <c r="AV43" s="548"/>
      <c r="AW43" s="548"/>
      <c r="AX43" s="548"/>
    </row>
    <row r="44" spans="2:56" ht="25.5" customHeight="1">
      <c r="B44" s="549" t="s">
        <v>1193</v>
      </c>
      <c r="C44" s="549"/>
      <c r="D44" s="549"/>
      <c r="E44" s="549"/>
      <c r="F44" s="549"/>
      <c r="G44" s="549"/>
      <c r="H44" s="549"/>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549"/>
      <c r="AK44" s="549"/>
      <c r="AL44" s="549"/>
      <c r="AM44" s="549"/>
      <c r="AN44" s="549"/>
      <c r="AO44" s="549"/>
      <c r="AP44" s="549"/>
      <c r="AQ44" s="549"/>
      <c r="AR44" s="549"/>
      <c r="AS44" s="549"/>
      <c r="AT44" s="549"/>
      <c r="AU44" s="549"/>
      <c r="AV44" s="549"/>
      <c r="AW44" s="549"/>
      <c r="AX44" s="549"/>
    </row>
    <row r="45" spans="2:56">
      <c r="B45" s="285" t="s">
        <v>1215</v>
      </c>
    </row>
    <row r="46" spans="2:56" ht="14.25" customHeight="1">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0"/>
      <c r="AV46" s="230"/>
      <c r="AW46" s="230"/>
      <c r="AX46" s="230"/>
    </row>
    <row r="47" spans="2:56" ht="10.5" customHeight="1">
      <c r="B47" s="16"/>
      <c r="C47" s="16"/>
      <c r="E47" s="82"/>
      <c r="AA47" s="269"/>
      <c r="AE47" s="280"/>
      <c r="AG47" s="280"/>
      <c r="AI47" s="280"/>
      <c r="AK47" s="280"/>
      <c r="AM47" s="280"/>
      <c r="AO47" s="280"/>
    </row>
    <row r="48" spans="2:56" ht="10.5" customHeight="1">
      <c r="B48" s="16"/>
      <c r="C48" s="16"/>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82"/>
    </row>
    <row r="49" spans="2:50" ht="10.5" customHeight="1">
      <c r="B49" s="16"/>
      <c r="C49" s="16"/>
    </row>
    <row r="50" spans="2:50" ht="10.5" customHeight="1">
      <c r="B50" s="53"/>
      <c r="C50" s="53"/>
    </row>
    <row r="51" spans="2:50" ht="14.25" customHeight="1">
      <c r="B51" s="10" t="s">
        <v>1232</v>
      </c>
      <c r="C51" s="53"/>
    </row>
    <row r="52" spans="2:50" ht="14.25" customHeight="1">
      <c r="B52" s="156" t="s">
        <v>1233</v>
      </c>
      <c r="C52" s="53"/>
    </row>
    <row r="53" spans="2:50" ht="6" customHeight="1">
      <c r="B53" s="54"/>
      <c r="C53" s="54"/>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row>
    <row r="54" spans="2:50" ht="6" customHeight="1"/>
    <row r="55" spans="2:50" ht="14.25" customHeight="1">
      <c r="B55" s="523" t="s">
        <v>469</v>
      </c>
      <c r="C55" s="523"/>
      <c r="D55" s="523"/>
      <c r="E55" s="281">
        <v>2000</v>
      </c>
      <c r="F55" s="404"/>
      <c r="G55" s="281">
        <v>2001</v>
      </c>
      <c r="H55" s="404"/>
      <c r="I55" s="281">
        <v>2002</v>
      </c>
      <c r="J55" s="404"/>
      <c r="K55" s="281">
        <v>2003</v>
      </c>
      <c r="L55" s="404"/>
      <c r="M55" s="281">
        <v>2004</v>
      </c>
      <c r="N55" s="404"/>
      <c r="O55" s="281">
        <v>2005</v>
      </c>
      <c r="P55" s="404"/>
      <c r="Q55" s="281">
        <v>2006</v>
      </c>
      <c r="R55" s="404"/>
      <c r="S55" s="281">
        <v>2007</v>
      </c>
      <c r="T55" s="404"/>
      <c r="U55" s="281">
        <v>2008</v>
      </c>
      <c r="V55" s="404"/>
      <c r="W55" s="281">
        <v>2009</v>
      </c>
      <c r="X55" s="404"/>
      <c r="Y55" s="281">
        <v>2010</v>
      </c>
      <c r="Z55" s="404"/>
      <c r="AA55" s="281">
        <v>2011</v>
      </c>
      <c r="AB55" s="404"/>
      <c r="AC55" s="281">
        <v>2012</v>
      </c>
      <c r="AD55" s="404"/>
      <c r="AE55" s="281">
        <v>2013</v>
      </c>
      <c r="AF55" s="404"/>
      <c r="AG55" s="281">
        <v>2014</v>
      </c>
      <c r="AH55" s="404"/>
      <c r="AI55" s="281">
        <v>2015</v>
      </c>
      <c r="AJ55" s="404"/>
      <c r="AK55" s="281">
        <v>2016</v>
      </c>
      <c r="AL55" s="404"/>
      <c r="AM55" s="281">
        <v>2017</v>
      </c>
      <c r="AN55" s="404"/>
      <c r="AO55" s="281">
        <v>2018</v>
      </c>
      <c r="AP55" s="404"/>
      <c r="AQ55" s="281">
        <v>2019</v>
      </c>
      <c r="AR55" s="404"/>
      <c r="AS55" s="281">
        <v>2020</v>
      </c>
      <c r="AT55" s="404"/>
      <c r="AU55" s="281">
        <v>2021</v>
      </c>
      <c r="AV55" s="404"/>
      <c r="AW55" s="523" t="s">
        <v>470</v>
      </c>
      <c r="AX55" s="523"/>
    </row>
    <row r="56" spans="2:50" ht="6" customHeight="1">
      <c r="B56" s="79"/>
      <c r="C56" s="79"/>
      <c r="D56" s="79"/>
      <c r="E56" s="80"/>
      <c r="F56" s="81"/>
      <c r="G56" s="80"/>
      <c r="H56" s="81"/>
      <c r="I56" s="80"/>
      <c r="J56" s="81"/>
      <c r="K56" s="80"/>
      <c r="L56" s="81"/>
      <c r="M56" s="80"/>
      <c r="N56" s="81"/>
      <c r="O56" s="80"/>
      <c r="P56" s="81"/>
      <c r="Q56" s="80"/>
      <c r="R56" s="81"/>
      <c r="S56" s="80"/>
      <c r="T56" s="81"/>
      <c r="U56" s="80"/>
      <c r="V56" s="81"/>
      <c r="W56" s="80"/>
      <c r="X56" s="81"/>
      <c r="Y56" s="80"/>
      <c r="Z56" s="81"/>
      <c r="AA56" s="80"/>
      <c r="AB56" s="81"/>
      <c r="AC56" s="81"/>
      <c r="AD56" s="81"/>
      <c r="AE56" s="80"/>
      <c r="AF56" s="81"/>
      <c r="AG56" s="80"/>
      <c r="AH56" s="81"/>
      <c r="AI56" s="80"/>
      <c r="AJ56" s="81"/>
      <c r="AK56" s="80"/>
      <c r="AL56" s="81"/>
      <c r="AM56" s="80"/>
      <c r="AN56" s="81"/>
      <c r="AO56" s="80"/>
      <c r="AP56" s="81"/>
      <c r="AQ56" s="80"/>
      <c r="AR56" s="81"/>
      <c r="AS56" s="80"/>
      <c r="AT56" s="81"/>
      <c r="AU56" s="81"/>
      <c r="AV56" s="81"/>
      <c r="AW56" s="79"/>
      <c r="AX56" s="79"/>
    </row>
    <row r="57" spans="2:50" ht="6" customHeight="1">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row>
    <row r="58" spans="2:50">
      <c r="B58" s="42">
        <v>1</v>
      </c>
      <c r="C58" s="42"/>
      <c r="D58" s="18" t="s">
        <v>521</v>
      </c>
      <c r="E58" s="19">
        <v>91.225658227848101</v>
      </c>
      <c r="F58" s="78"/>
      <c r="G58" s="19">
        <v>95.401658227848102</v>
      </c>
      <c r="H58" s="78"/>
      <c r="I58" s="19">
        <v>96.429000000000002</v>
      </c>
      <c r="J58" s="19"/>
      <c r="K58" s="19">
        <v>102.047</v>
      </c>
      <c r="L58" s="19"/>
      <c r="M58" s="19">
        <v>108.322</v>
      </c>
      <c r="N58" s="19"/>
      <c r="O58" s="19">
        <v>110.749</v>
      </c>
      <c r="P58" s="19"/>
      <c r="Q58" s="19">
        <v>114.33199999999999</v>
      </c>
      <c r="R58" s="19"/>
      <c r="S58" s="19">
        <v>121.983</v>
      </c>
      <c r="T58" s="55"/>
      <c r="U58" s="19">
        <v>123.16500000000001</v>
      </c>
      <c r="V58" s="19"/>
      <c r="W58" s="19">
        <v>124.309</v>
      </c>
      <c r="X58" s="55"/>
      <c r="Y58" s="19">
        <v>131.46899999999999</v>
      </c>
      <c r="Z58" s="31"/>
      <c r="AA58" s="279">
        <v>149.41399999999999</v>
      </c>
      <c r="AB58" s="23"/>
      <c r="AC58" s="19">
        <v>139.54499999999999</v>
      </c>
      <c r="AD58" s="23"/>
      <c r="AE58" s="19">
        <v>147.71</v>
      </c>
      <c r="AF58" s="23"/>
      <c r="AG58" s="19">
        <v>145.292</v>
      </c>
      <c r="AH58" s="23"/>
      <c r="AI58" s="19">
        <v>147.15700000000001</v>
      </c>
      <c r="AJ58" s="23"/>
      <c r="AK58" s="19">
        <v>157.09399999999999</v>
      </c>
      <c r="AL58" s="23"/>
      <c r="AM58" s="19">
        <v>159.345</v>
      </c>
      <c r="AN58" s="23"/>
      <c r="AO58" s="19">
        <v>175.548</v>
      </c>
      <c r="AP58" s="23"/>
      <c r="AQ58" s="19">
        <v>189.63900000000001</v>
      </c>
      <c r="AR58" s="23"/>
      <c r="AS58" s="19">
        <v>126.37996200000001</v>
      </c>
      <c r="AT58" s="23"/>
      <c r="AU58" s="19">
        <v>124.883</v>
      </c>
      <c r="AV58" s="23"/>
      <c r="AW58" s="52"/>
      <c r="AX58" s="63" t="s">
        <v>535</v>
      </c>
    </row>
    <row r="59" spans="2:50" ht="6" customHeight="1">
      <c r="B59" s="34"/>
      <c r="C59" s="34"/>
      <c r="D59" s="56"/>
      <c r="E59" s="36"/>
      <c r="F59" s="36"/>
      <c r="G59" s="36"/>
      <c r="H59" s="36"/>
      <c r="I59" s="36"/>
      <c r="J59" s="36"/>
      <c r="K59" s="36"/>
      <c r="L59" s="36"/>
      <c r="M59" s="36"/>
      <c r="N59" s="36"/>
      <c r="O59" s="36"/>
      <c r="P59" s="36"/>
      <c r="Q59" s="36"/>
      <c r="R59" s="36"/>
      <c r="S59" s="36"/>
      <c r="T59" s="57"/>
      <c r="U59" s="36"/>
      <c r="V59" s="36"/>
      <c r="W59" s="36"/>
      <c r="X59" s="57"/>
      <c r="Y59" s="36"/>
      <c r="Z59" s="39"/>
      <c r="AA59" s="36"/>
      <c r="AB59" s="41"/>
      <c r="AC59" s="41"/>
      <c r="AD59" s="41"/>
      <c r="AE59" s="36"/>
      <c r="AF59" s="41"/>
      <c r="AG59" s="36"/>
      <c r="AH59" s="41"/>
      <c r="AI59" s="36"/>
      <c r="AJ59" s="41"/>
      <c r="AK59" s="36"/>
      <c r="AL59" s="41"/>
      <c r="AM59" s="36"/>
      <c r="AN59" s="41"/>
      <c r="AO59" s="36"/>
      <c r="AP59" s="41"/>
      <c r="AQ59" s="36"/>
      <c r="AR59" s="41"/>
      <c r="AS59" s="36"/>
      <c r="AT59" s="41"/>
      <c r="AU59" s="41"/>
      <c r="AV59" s="41"/>
      <c r="AW59" s="58"/>
      <c r="AX59" s="56"/>
    </row>
    <row r="60" spans="2:50" ht="6" customHeight="1">
      <c r="B60" s="42"/>
      <c r="C60" s="42"/>
      <c r="D60" s="24"/>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24"/>
    </row>
    <row r="61" spans="2:50">
      <c r="B61" s="523" t="s">
        <v>472</v>
      </c>
      <c r="C61" s="523"/>
      <c r="D61" s="523"/>
      <c r="E61" s="497"/>
      <c r="F61" s="497"/>
      <c r="G61" s="497"/>
      <c r="H61" s="497"/>
      <c r="I61" s="497"/>
      <c r="J61" s="497"/>
      <c r="K61" s="497"/>
      <c r="L61" s="497"/>
      <c r="M61" s="497"/>
      <c r="N61" s="497"/>
      <c r="O61" s="497"/>
      <c r="P61" s="497"/>
      <c r="Q61" s="497"/>
      <c r="R61" s="497"/>
      <c r="S61" s="497"/>
      <c r="T61" s="502"/>
      <c r="U61" s="497"/>
      <c r="V61" s="502"/>
      <c r="W61" s="497"/>
      <c r="X61" s="502"/>
      <c r="Y61" s="497"/>
      <c r="Z61" s="502"/>
      <c r="AA61" s="497"/>
      <c r="AB61" s="502"/>
      <c r="AC61" s="61"/>
      <c r="AD61" s="61"/>
      <c r="AE61" s="42"/>
      <c r="AF61" s="61"/>
      <c r="AG61" s="42"/>
      <c r="AH61" s="61"/>
      <c r="AI61" s="42"/>
      <c r="AJ61" s="61"/>
      <c r="AK61" s="42"/>
      <c r="AL61" s="61"/>
      <c r="AM61" s="497"/>
      <c r="AN61" s="502"/>
      <c r="AO61" s="497"/>
      <c r="AP61" s="502"/>
      <c r="AQ61" s="497"/>
      <c r="AR61" s="502"/>
      <c r="AS61" s="497"/>
      <c r="AT61" s="502"/>
      <c r="AU61" s="61"/>
      <c r="AV61" s="61"/>
      <c r="AX61" s="283" t="s">
        <v>511</v>
      </c>
    </row>
    <row r="62" spans="2:50" ht="6" customHeight="1">
      <c r="B62" s="79"/>
      <c r="C62" s="79"/>
      <c r="D62" s="79"/>
      <c r="E62" s="80"/>
      <c r="F62" s="80"/>
      <c r="G62" s="80"/>
      <c r="H62" s="80"/>
      <c r="I62" s="80"/>
      <c r="J62" s="80"/>
      <c r="K62" s="80"/>
      <c r="L62" s="80"/>
      <c r="M62" s="80"/>
      <c r="N62" s="80"/>
      <c r="O62" s="80"/>
      <c r="P62" s="80"/>
      <c r="Q62" s="80"/>
      <c r="R62" s="80"/>
      <c r="S62" s="80"/>
      <c r="T62" s="81"/>
      <c r="U62" s="80"/>
      <c r="V62" s="81"/>
      <c r="W62" s="80"/>
      <c r="X62" s="81"/>
      <c r="Y62" s="80"/>
      <c r="Z62" s="81"/>
      <c r="AA62" s="80"/>
      <c r="AB62" s="81"/>
      <c r="AC62" s="81"/>
      <c r="AD62" s="81"/>
      <c r="AE62" s="80"/>
      <c r="AF62" s="81"/>
      <c r="AG62" s="80"/>
      <c r="AH62" s="81"/>
      <c r="AI62" s="80"/>
      <c r="AJ62" s="81"/>
      <c r="AK62" s="80"/>
      <c r="AL62" s="81"/>
      <c r="AM62" s="80"/>
      <c r="AN62" s="81"/>
      <c r="AO62" s="80"/>
      <c r="AP62" s="81"/>
      <c r="AQ62" s="80"/>
      <c r="AR62" s="81"/>
      <c r="AS62" s="80"/>
      <c r="AT62" s="81"/>
      <c r="AU62" s="81"/>
      <c r="AV62" s="81"/>
      <c r="AW62" s="79"/>
      <c r="AX62" s="79"/>
    </row>
    <row r="63" spans="2:50" ht="6" customHeight="1">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row>
    <row r="64" spans="2:50">
      <c r="B64" s="42">
        <v>2</v>
      </c>
      <c r="C64" s="42"/>
      <c r="D64" s="18" t="s">
        <v>521</v>
      </c>
      <c r="E64" s="19">
        <v>393.90000000000003</v>
      </c>
      <c r="F64" s="19"/>
      <c r="G64" s="19">
        <v>410.29999999999995</v>
      </c>
      <c r="H64" s="19"/>
      <c r="I64" s="19">
        <v>414.6263568774977</v>
      </c>
      <c r="J64" s="19"/>
      <c r="K64" s="19">
        <v>435.76199999999994</v>
      </c>
      <c r="L64" s="19"/>
      <c r="M64" s="19">
        <v>462.21199999999999</v>
      </c>
      <c r="N64" s="19"/>
      <c r="O64" s="19">
        <v>473.03200000000004</v>
      </c>
      <c r="P64" s="19"/>
      <c r="Q64" s="19">
        <v>482.10500000000002</v>
      </c>
      <c r="R64" s="19"/>
      <c r="S64" s="19">
        <v>513.94500000000005</v>
      </c>
      <c r="T64" s="55"/>
      <c r="U64" s="19">
        <v>524.27</v>
      </c>
      <c r="V64" s="19"/>
      <c r="W64" s="19">
        <v>524.48800000000006</v>
      </c>
      <c r="X64" s="55"/>
      <c r="Y64" s="19">
        <v>547.80000000000007</v>
      </c>
      <c r="Z64" s="22"/>
      <c r="AA64" s="279">
        <v>615.20000000000005</v>
      </c>
      <c r="AB64" s="23"/>
      <c r="AC64" s="19">
        <v>577.19999999999993</v>
      </c>
      <c r="AD64" s="23"/>
      <c r="AE64" s="19">
        <v>608.11764432647658</v>
      </c>
      <c r="AF64" s="23"/>
      <c r="AG64" s="19">
        <v>594.9</v>
      </c>
      <c r="AH64" s="23"/>
      <c r="AI64" s="19">
        <v>607.79999999999995</v>
      </c>
      <c r="AJ64" s="23"/>
      <c r="AK64" s="19">
        <v>654.65595000000008</v>
      </c>
      <c r="AL64" s="23"/>
      <c r="AM64" s="19">
        <v>667.60500000000002</v>
      </c>
      <c r="AN64" s="23"/>
      <c r="AO64" s="19">
        <v>745.5</v>
      </c>
      <c r="AP64" s="23"/>
      <c r="AQ64" s="19">
        <v>809.35799999999995</v>
      </c>
      <c r="AR64" s="23"/>
      <c r="AS64" s="19">
        <v>536.65980999999988</v>
      </c>
      <c r="AT64" s="23"/>
      <c r="AU64" s="19">
        <v>455.43210000000005</v>
      </c>
      <c r="AV64" s="23"/>
      <c r="AW64" s="52"/>
      <c r="AX64" s="63" t="s">
        <v>535</v>
      </c>
    </row>
    <row r="65" spans="2:50" ht="6" customHeight="1">
      <c r="B65" s="42"/>
      <c r="C65" s="42"/>
      <c r="D65" s="18"/>
      <c r="E65" s="19"/>
      <c r="F65" s="19"/>
      <c r="G65" s="19"/>
      <c r="H65" s="19"/>
      <c r="I65" s="19"/>
      <c r="J65" s="19"/>
      <c r="K65" s="19"/>
      <c r="L65" s="19"/>
      <c r="M65" s="19"/>
      <c r="N65" s="19"/>
      <c r="O65" s="19"/>
      <c r="P65" s="19"/>
      <c r="Q65" s="19"/>
      <c r="R65" s="19"/>
      <c r="S65" s="19"/>
      <c r="T65" s="55"/>
      <c r="U65" s="19"/>
      <c r="V65" s="19"/>
      <c r="W65" s="19"/>
      <c r="X65" s="55"/>
      <c r="Y65" s="19"/>
      <c r="Z65" s="22"/>
      <c r="AA65" s="19"/>
      <c r="AB65" s="17"/>
      <c r="AC65" s="17"/>
      <c r="AD65" s="17"/>
      <c r="AE65" s="19"/>
      <c r="AF65" s="17"/>
      <c r="AG65" s="19"/>
      <c r="AH65" s="17"/>
      <c r="AI65" s="19"/>
      <c r="AJ65" s="17"/>
      <c r="AK65" s="19"/>
      <c r="AL65" s="17"/>
      <c r="AM65" s="19"/>
      <c r="AN65" s="17"/>
      <c r="AO65" s="19"/>
      <c r="AP65" s="17"/>
      <c r="AQ65" s="19"/>
      <c r="AR65" s="17"/>
      <c r="AS65" s="19"/>
      <c r="AT65" s="17"/>
      <c r="AU65" s="17"/>
      <c r="AV65" s="17"/>
      <c r="AW65" s="52"/>
      <c r="AX65" s="18"/>
    </row>
    <row r="66" spans="2:50" ht="6" customHeight="1">
      <c r="B66" s="59"/>
      <c r="C66" s="59"/>
      <c r="D66" s="60"/>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60"/>
    </row>
    <row r="67" spans="2:50" ht="14.25" customHeight="1">
      <c r="B67" s="16"/>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row>
    <row r="68" spans="2:50" ht="12.75" customHeight="1">
      <c r="B68" s="52"/>
      <c r="C68" s="52"/>
    </row>
    <row r="69" spans="2:50" ht="12.75" customHeight="1">
      <c r="B69" s="52"/>
      <c r="C69" s="52"/>
    </row>
    <row r="70" spans="2:50" ht="12.75" customHeight="1">
      <c r="B70" s="52"/>
      <c r="C70" s="52"/>
    </row>
    <row r="71" spans="2:50" ht="10.5" customHeight="1">
      <c r="B71" s="53"/>
      <c r="C71" s="53"/>
    </row>
    <row r="72" spans="2:50" ht="14.25" customHeight="1">
      <c r="B72" s="10" t="s">
        <v>1234</v>
      </c>
      <c r="C72" s="53"/>
    </row>
    <row r="73" spans="2:50" ht="14.25" customHeight="1">
      <c r="B73" s="156" t="s">
        <v>1235</v>
      </c>
      <c r="C73" s="53"/>
    </row>
    <row r="74" spans="2:50" ht="6" customHeight="1">
      <c r="B74" s="54"/>
      <c r="C74" s="54"/>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row>
    <row r="75" spans="2:50" ht="6" customHeight="1"/>
    <row r="76" spans="2:50" ht="14.25" customHeight="1">
      <c r="B76" s="523" t="s">
        <v>469</v>
      </c>
      <c r="C76" s="523"/>
      <c r="D76" s="523"/>
      <c r="E76" s="281">
        <v>2000</v>
      </c>
      <c r="F76" s="404"/>
      <c r="G76" s="281">
        <v>2001</v>
      </c>
      <c r="H76" s="404"/>
      <c r="I76" s="281">
        <v>2002</v>
      </c>
      <c r="J76" s="404"/>
      <c r="K76" s="281">
        <v>2003</v>
      </c>
      <c r="L76" s="404"/>
      <c r="M76" s="281">
        <v>2004</v>
      </c>
      <c r="N76" s="404"/>
      <c r="O76" s="281">
        <v>2005</v>
      </c>
      <c r="P76" s="404"/>
      <c r="Q76" s="281">
        <v>2006</v>
      </c>
      <c r="R76" s="404"/>
      <c r="S76" s="281">
        <v>2007</v>
      </c>
      <c r="T76" s="404"/>
      <c r="U76" s="281">
        <v>2008</v>
      </c>
      <c r="V76" s="404"/>
      <c r="W76" s="281">
        <v>2009</v>
      </c>
      <c r="X76" s="404"/>
      <c r="Y76" s="281">
        <v>2010</v>
      </c>
      <c r="Z76" s="404"/>
      <c r="AA76" s="281">
        <v>2011</v>
      </c>
      <c r="AB76" s="404"/>
      <c r="AC76" s="281">
        <v>2012</v>
      </c>
      <c r="AD76" s="404"/>
      <c r="AE76" s="281">
        <v>2013</v>
      </c>
      <c r="AF76" s="404"/>
      <c r="AG76" s="281">
        <v>2014</v>
      </c>
      <c r="AH76" s="404"/>
      <c r="AI76" s="281">
        <v>2015</v>
      </c>
      <c r="AJ76" s="404"/>
      <c r="AK76" s="281">
        <v>2016</v>
      </c>
      <c r="AL76" s="404"/>
      <c r="AM76" s="281">
        <v>2017</v>
      </c>
      <c r="AN76" s="404"/>
      <c r="AO76" s="281">
        <v>2018</v>
      </c>
      <c r="AP76" s="404"/>
      <c r="AQ76" s="281">
        <v>2019</v>
      </c>
      <c r="AR76" s="404"/>
      <c r="AS76" s="281">
        <v>2020</v>
      </c>
      <c r="AT76" s="404"/>
      <c r="AU76" s="281">
        <v>2021</v>
      </c>
      <c r="AV76" s="404"/>
      <c r="AW76" s="523" t="s">
        <v>470</v>
      </c>
      <c r="AX76" s="523"/>
    </row>
    <row r="77" spans="2:50" ht="6" customHeight="1">
      <c r="B77" s="79"/>
      <c r="C77" s="79"/>
      <c r="D77" s="79"/>
      <c r="E77" s="80"/>
      <c r="F77" s="81"/>
      <c r="G77" s="80"/>
      <c r="H77" s="81"/>
      <c r="I77" s="80"/>
      <c r="J77" s="81"/>
      <c r="K77" s="80"/>
      <c r="L77" s="81"/>
      <c r="M77" s="80"/>
      <c r="N77" s="81"/>
      <c r="O77" s="80"/>
      <c r="P77" s="81"/>
      <c r="Q77" s="80"/>
      <c r="R77" s="81"/>
      <c r="S77" s="80"/>
      <c r="T77" s="81"/>
      <c r="U77" s="80"/>
      <c r="V77" s="81"/>
      <c r="W77" s="80"/>
      <c r="X77" s="81"/>
      <c r="Y77" s="80"/>
      <c r="Z77" s="81"/>
      <c r="AA77" s="80"/>
      <c r="AB77" s="81"/>
      <c r="AC77" s="81"/>
      <c r="AD77" s="81"/>
      <c r="AE77" s="80"/>
      <c r="AF77" s="81"/>
      <c r="AG77" s="80"/>
      <c r="AH77" s="81"/>
      <c r="AI77" s="80"/>
      <c r="AJ77" s="81"/>
      <c r="AK77" s="80"/>
      <c r="AL77" s="81"/>
      <c r="AM77" s="80"/>
      <c r="AN77" s="81"/>
      <c r="AO77" s="80"/>
      <c r="AP77" s="81"/>
      <c r="AQ77" s="80"/>
      <c r="AR77" s="81"/>
      <c r="AS77" s="80"/>
      <c r="AT77" s="81"/>
      <c r="AU77" s="81"/>
      <c r="AV77" s="81"/>
      <c r="AW77" s="80"/>
      <c r="AX77" s="80"/>
    </row>
    <row r="78" spans="2:50" ht="6" customHeight="1">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row>
    <row r="79" spans="2:50">
      <c r="B79" s="42">
        <v>1</v>
      </c>
      <c r="C79" s="42"/>
      <c r="D79" s="18" t="s">
        <v>521</v>
      </c>
      <c r="E79" s="19">
        <v>284</v>
      </c>
      <c r="F79" s="19"/>
      <c r="G79" s="19">
        <v>283</v>
      </c>
      <c r="H79" s="19"/>
      <c r="I79" s="19">
        <v>282</v>
      </c>
      <c r="J79" s="19"/>
      <c r="K79" s="19">
        <v>279</v>
      </c>
      <c r="L79" s="19"/>
      <c r="M79" s="19">
        <v>278</v>
      </c>
      <c r="N79" s="19"/>
      <c r="O79" s="19">
        <v>276</v>
      </c>
      <c r="P79" s="19"/>
      <c r="Q79" s="19">
        <v>297</v>
      </c>
      <c r="R79" s="19"/>
      <c r="S79" s="19">
        <v>303</v>
      </c>
      <c r="T79" s="55"/>
      <c r="U79" s="19">
        <v>306</v>
      </c>
      <c r="V79" s="19"/>
      <c r="W79" s="19">
        <v>307</v>
      </c>
      <c r="X79" s="55"/>
      <c r="Y79" s="19">
        <v>310</v>
      </c>
      <c r="Z79" s="31"/>
      <c r="AA79" s="19">
        <v>309</v>
      </c>
      <c r="AB79" s="17"/>
      <c r="AC79" s="19">
        <v>322</v>
      </c>
      <c r="AD79" s="17"/>
      <c r="AE79" s="19">
        <v>328</v>
      </c>
      <c r="AF79" s="17"/>
      <c r="AG79" s="19">
        <v>330</v>
      </c>
      <c r="AH79" s="17"/>
      <c r="AI79" s="19">
        <v>338</v>
      </c>
      <c r="AJ79" s="17"/>
      <c r="AK79" s="19">
        <v>349</v>
      </c>
      <c r="AL79" s="23"/>
      <c r="AM79" s="19">
        <v>353</v>
      </c>
      <c r="AN79" s="17"/>
      <c r="AO79" s="19">
        <v>355</v>
      </c>
      <c r="AP79" s="17"/>
      <c r="AQ79" s="19">
        <v>347</v>
      </c>
      <c r="AR79" s="17"/>
      <c r="AS79" s="19">
        <v>213</v>
      </c>
      <c r="AT79" s="17"/>
      <c r="AU79" s="65">
        <v>219</v>
      </c>
      <c r="AV79" s="17"/>
      <c r="AW79" s="52"/>
      <c r="AX79" s="63" t="s">
        <v>535</v>
      </c>
    </row>
    <row r="80" spans="2:50" ht="6" customHeight="1">
      <c r="B80" s="34"/>
      <c r="C80" s="34"/>
      <c r="D80" s="56"/>
      <c r="E80" s="36"/>
      <c r="F80" s="36"/>
      <c r="G80" s="36"/>
      <c r="H80" s="36"/>
      <c r="I80" s="36"/>
      <c r="J80" s="36"/>
      <c r="K80" s="36"/>
      <c r="L80" s="36"/>
      <c r="M80" s="36"/>
      <c r="N80" s="36"/>
      <c r="O80" s="36"/>
      <c r="P80" s="36"/>
      <c r="Q80" s="36"/>
      <c r="R80" s="36"/>
      <c r="S80" s="36"/>
      <c r="T80" s="57"/>
      <c r="U80" s="36"/>
      <c r="V80" s="36"/>
      <c r="W80" s="36"/>
      <c r="X80" s="57"/>
      <c r="Y80" s="36"/>
      <c r="Z80" s="39"/>
      <c r="AA80" s="36"/>
      <c r="AB80" s="41"/>
      <c r="AC80" s="41"/>
      <c r="AD80" s="41"/>
      <c r="AE80" s="36"/>
      <c r="AF80" s="41"/>
      <c r="AG80" s="36"/>
      <c r="AH80" s="41"/>
      <c r="AI80" s="36"/>
      <c r="AJ80" s="41"/>
      <c r="AK80" s="36"/>
      <c r="AL80" s="41"/>
      <c r="AM80" s="36"/>
      <c r="AN80" s="41"/>
      <c r="AO80" s="36"/>
      <c r="AP80" s="41"/>
      <c r="AQ80" s="36"/>
      <c r="AR80" s="41"/>
      <c r="AS80" s="36"/>
      <c r="AT80" s="41"/>
      <c r="AU80" s="41"/>
      <c r="AV80" s="41"/>
      <c r="AW80" s="58"/>
      <c r="AX80" s="56"/>
    </row>
    <row r="81" spans="2:50" ht="6" customHeight="1">
      <c r="B81" s="42"/>
      <c r="C81" s="42"/>
      <c r="D81" s="24"/>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24"/>
    </row>
    <row r="82" spans="2:50">
      <c r="B82" s="523" t="s">
        <v>472</v>
      </c>
      <c r="C82" s="523"/>
      <c r="D82" s="523"/>
      <c r="E82" s="497"/>
      <c r="F82" s="497"/>
      <c r="G82" s="497"/>
      <c r="H82" s="497"/>
      <c r="I82" s="497"/>
      <c r="J82" s="497"/>
      <c r="K82" s="497"/>
      <c r="L82" s="497"/>
      <c r="M82" s="497"/>
      <c r="N82" s="497"/>
      <c r="O82" s="497"/>
      <c r="P82" s="497"/>
      <c r="Q82" s="497"/>
      <c r="R82" s="497"/>
      <c r="S82" s="497"/>
      <c r="T82" s="502"/>
      <c r="U82" s="497"/>
      <c r="V82" s="502"/>
      <c r="W82" s="497"/>
      <c r="X82" s="502"/>
      <c r="Y82" s="497"/>
      <c r="Z82" s="502"/>
      <c r="AA82" s="497"/>
      <c r="AB82" s="502"/>
      <c r="AC82" s="61"/>
      <c r="AD82" s="61"/>
      <c r="AE82" s="42"/>
      <c r="AF82" s="61"/>
      <c r="AG82" s="42"/>
      <c r="AH82" s="61"/>
      <c r="AI82" s="42"/>
      <c r="AJ82" s="61"/>
      <c r="AK82" s="42"/>
      <c r="AL82" s="61"/>
      <c r="AM82" s="497"/>
      <c r="AN82" s="502"/>
      <c r="AO82" s="497"/>
      <c r="AP82" s="502"/>
      <c r="AQ82" s="497"/>
      <c r="AR82" s="502"/>
      <c r="AS82" s="497"/>
      <c r="AT82" s="502"/>
      <c r="AU82" s="61"/>
      <c r="AV82" s="61"/>
      <c r="AW82" s="523" t="s">
        <v>511</v>
      </c>
      <c r="AX82" s="523"/>
    </row>
    <row r="83" spans="2:50" ht="6" customHeight="1">
      <c r="B83" s="79"/>
      <c r="C83" s="79"/>
      <c r="D83" s="79"/>
      <c r="E83" s="80"/>
      <c r="F83" s="80"/>
      <c r="G83" s="80"/>
      <c r="H83" s="80"/>
      <c r="I83" s="80"/>
      <c r="J83" s="80"/>
      <c r="K83" s="80"/>
      <c r="L83" s="80"/>
      <c r="M83" s="80"/>
      <c r="N83" s="80"/>
      <c r="O83" s="80"/>
      <c r="P83" s="80"/>
      <c r="Q83" s="80"/>
      <c r="R83" s="80"/>
      <c r="S83" s="80"/>
      <c r="T83" s="81"/>
      <c r="U83" s="80"/>
      <c r="V83" s="81"/>
      <c r="W83" s="80"/>
      <c r="X83" s="81"/>
      <c r="Y83" s="80"/>
      <c r="Z83" s="81"/>
      <c r="AA83" s="80"/>
      <c r="AB83" s="81"/>
      <c r="AC83" s="81"/>
      <c r="AD83" s="81"/>
      <c r="AE83" s="80"/>
      <c r="AF83" s="81"/>
      <c r="AG83" s="80"/>
      <c r="AH83" s="81"/>
      <c r="AI83" s="80"/>
      <c r="AJ83" s="81"/>
      <c r="AK83" s="80"/>
      <c r="AL83" s="81"/>
      <c r="AM83" s="80"/>
      <c r="AN83" s="81"/>
      <c r="AO83" s="80"/>
      <c r="AP83" s="81"/>
      <c r="AQ83" s="80"/>
      <c r="AR83" s="81"/>
      <c r="AS83" s="80"/>
      <c r="AT83" s="81"/>
      <c r="AU83" s="81"/>
      <c r="AV83" s="81"/>
      <c r="AW83" s="79"/>
      <c r="AX83" s="79"/>
    </row>
    <row r="84" spans="2:50" ht="6" customHeight="1">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row>
    <row r="85" spans="2:50">
      <c r="B85" s="42">
        <v>2</v>
      </c>
      <c r="C85" s="42"/>
      <c r="D85" s="18" t="s">
        <v>521</v>
      </c>
      <c r="E85" s="65">
        <v>1588</v>
      </c>
      <c r="F85" s="65"/>
      <c r="G85" s="65">
        <v>1581</v>
      </c>
      <c r="H85" s="65"/>
      <c r="I85" s="65">
        <v>1578</v>
      </c>
      <c r="J85" s="65"/>
      <c r="K85" s="65">
        <v>1558</v>
      </c>
      <c r="L85" s="65"/>
      <c r="M85" s="65">
        <v>1556</v>
      </c>
      <c r="N85" s="65"/>
      <c r="O85" s="65">
        <v>1541</v>
      </c>
      <c r="P85" s="65"/>
      <c r="Q85" s="65">
        <v>1657</v>
      </c>
      <c r="R85" s="65"/>
      <c r="S85" s="65">
        <v>1690</v>
      </c>
      <c r="T85" s="65"/>
      <c r="U85" s="65">
        <v>1715</v>
      </c>
      <c r="V85" s="65"/>
      <c r="W85" s="65">
        <v>1715</v>
      </c>
      <c r="X85" s="65"/>
      <c r="Y85" s="65">
        <v>1731</v>
      </c>
      <c r="Z85" s="65"/>
      <c r="AA85" s="65">
        <v>1725</v>
      </c>
      <c r="AB85" s="17"/>
      <c r="AC85" s="65">
        <v>1796</v>
      </c>
      <c r="AD85" s="17"/>
      <c r="AE85" s="65">
        <v>1841</v>
      </c>
      <c r="AF85" s="17"/>
      <c r="AG85" s="65">
        <v>1848</v>
      </c>
      <c r="AH85" s="17"/>
      <c r="AI85" s="65">
        <v>1892</v>
      </c>
      <c r="AJ85" s="17"/>
      <c r="AK85" s="65">
        <v>1953</v>
      </c>
      <c r="AL85" s="23"/>
      <c r="AM85" s="65">
        <v>1979</v>
      </c>
      <c r="AN85" s="17"/>
      <c r="AO85" s="65">
        <v>1991</v>
      </c>
      <c r="AP85" s="17"/>
      <c r="AQ85" s="65">
        <v>1895</v>
      </c>
      <c r="AR85" s="17"/>
      <c r="AS85" s="65">
        <v>1151</v>
      </c>
      <c r="AT85" s="17"/>
      <c r="AU85" s="65">
        <v>1137</v>
      </c>
      <c r="AV85" s="17"/>
      <c r="AW85" s="52"/>
      <c r="AX85" s="63" t="s">
        <v>535</v>
      </c>
    </row>
    <row r="86" spans="2:50" ht="6" customHeight="1">
      <c r="B86" s="42"/>
      <c r="C86" s="42"/>
      <c r="D86" s="18"/>
      <c r="E86" s="19"/>
      <c r="F86" s="19"/>
      <c r="G86" s="19"/>
      <c r="H86" s="19"/>
      <c r="I86" s="19"/>
      <c r="J86" s="19"/>
      <c r="K86" s="19"/>
      <c r="L86" s="19"/>
      <c r="M86" s="19"/>
      <c r="N86" s="19"/>
      <c r="O86" s="19"/>
      <c r="P86" s="19"/>
      <c r="Q86" s="19"/>
      <c r="R86" s="19"/>
      <c r="S86" s="19"/>
      <c r="T86" s="55"/>
      <c r="U86" s="19"/>
      <c r="V86" s="19"/>
      <c r="W86" s="19"/>
      <c r="X86" s="55"/>
      <c r="Y86" s="19"/>
      <c r="Z86" s="22"/>
      <c r="AA86" s="19"/>
      <c r="AB86" s="17"/>
      <c r="AC86" s="17"/>
      <c r="AD86" s="17"/>
      <c r="AE86" s="19"/>
      <c r="AF86" s="17"/>
      <c r="AG86" s="19"/>
      <c r="AH86" s="17"/>
      <c r="AI86" s="19"/>
      <c r="AJ86" s="17"/>
      <c r="AK86" s="19"/>
      <c r="AL86" s="17"/>
      <c r="AM86" s="19"/>
      <c r="AN86" s="17"/>
      <c r="AO86" s="19"/>
      <c r="AP86" s="17"/>
      <c r="AQ86" s="19"/>
      <c r="AR86" s="17"/>
      <c r="AS86" s="19"/>
      <c r="AT86" s="17"/>
      <c r="AU86" s="17"/>
      <c r="AV86" s="17"/>
      <c r="AW86" s="52"/>
      <c r="AX86" s="18"/>
    </row>
    <row r="87" spans="2:50">
      <c r="B87" s="59"/>
      <c r="C87" s="59"/>
      <c r="D87" s="60"/>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60"/>
    </row>
    <row r="88" spans="2:50" ht="14.25" customHeight="1">
      <c r="B88" s="158"/>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G88" s="211"/>
      <c r="AI88" s="211"/>
      <c r="AK88" s="211"/>
      <c r="AM88" s="211"/>
      <c r="AO88" s="211"/>
      <c r="AQ88" s="211"/>
      <c r="AS88" s="211"/>
    </row>
    <row r="89" spans="2:50" ht="14.25" customHeight="1">
      <c r="B89" s="104"/>
    </row>
  </sheetData>
  <mergeCells count="59">
    <mergeCell ref="AS24:AT24"/>
    <mergeCell ref="AS61:AT61"/>
    <mergeCell ref="AS82:AT82"/>
    <mergeCell ref="AW82:AX82"/>
    <mergeCell ref="S82:T82"/>
    <mergeCell ref="U82:V82"/>
    <mergeCell ref="W82:X82"/>
    <mergeCell ref="Y82:Z82"/>
    <mergeCell ref="AA82:AB82"/>
    <mergeCell ref="AW76:AX76"/>
    <mergeCell ref="AQ82:AR82"/>
    <mergeCell ref="AM82:AN82"/>
    <mergeCell ref="AQ61:AR61"/>
    <mergeCell ref="U61:V61"/>
    <mergeCell ref="W61:X61"/>
    <mergeCell ref="Y61:Z61"/>
    <mergeCell ref="S24:T24"/>
    <mergeCell ref="B24:D24"/>
    <mergeCell ref="E24:F24"/>
    <mergeCell ref="G24:H24"/>
    <mergeCell ref="G61:H61"/>
    <mergeCell ref="I61:J61"/>
    <mergeCell ref="K61:L61"/>
    <mergeCell ref="M61:N61"/>
    <mergeCell ref="B61:D61"/>
    <mergeCell ref="E61:F61"/>
    <mergeCell ref="Q24:R24"/>
    <mergeCell ref="O61:P61"/>
    <mergeCell ref="Q61:R61"/>
    <mergeCell ref="S61:T61"/>
    <mergeCell ref="B44:AX44"/>
    <mergeCell ref="AA61:AB61"/>
    <mergeCell ref="B82:D82"/>
    <mergeCell ref="E82:F82"/>
    <mergeCell ref="G82:H82"/>
    <mergeCell ref="I82:J82"/>
    <mergeCell ref="K82:L82"/>
    <mergeCell ref="M82:N82"/>
    <mergeCell ref="O82:P82"/>
    <mergeCell ref="Q82:R82"/>
    <mergeCell ref="AO61:AP61"/>
    <mergeCell ref="AO82:AP82"/>
    <mergeCell ref="AM61:AN61"/>
    <mergeCell ref="B5:D5"/>
    <mergeCell ref="B76:D76"/>
    <mergeCell ref="AW55:AX55"/>
    <mergeCell ref="U24:V24"/>
    <mergeCell ref="W24:X24"/>
    <mergeCell ref="AA24:AB24"/>
    <mergeCell ref="B55:D55"/>
    <mergeCell ref="I24:J24"/>
    <mergeCell ref="K24:L24"/>
    <mergeCell ref="M24:N24"/>
    <mergeCell ref="O24:P24"/>
    <mergeCell ref="Y24:Z24"/>
    <mergeCell ref="AO24:AP24"/>
    <mergeCell ref="AM24:AN24"/>
    <mergeCell ref="AQ24:AR24"/>
    <mergeCell ref="B43:AX43"/>
  </mergeCells>
  <printOptions horizontalCentered="1"/>
  <pageMargins left="0" right="0" top="0" bottom="0" header="0" footer="0"/>
  <pageSetup paperSize="9" scale="73" orientation="portrait"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CK39"/>
  <sheetViews>
    <sheetView workbookViewId="0">
      <pane xSplit="1" ySplit="3" topLeftCell="BC21" activePane="bottomRight" state="frozen"/>
      <selection pane="topRight" activeCell="B1" sqref="B1"/>
      <selection pane="bottomLeft" activeCell="A4" sqref="A4"/>
      <selection pane="bottomRight" activeCell="BG41" sqref="BG41"/>
    </sheetView>
  </sheetViews>
  <sheetFormatPr defaultColWidth="9.109375" defaultRowHeight="14.4"/>
  <cols>
    <col min="1" max="4" width="10.88671875" style="237" customWidth="1"/>
    <col min="5" max="5" width="1.6640625" style="237" customWidth="1"/>
    <col min="6" max="8" width="10.88671875" style="237" customWidth="1"/>
    <col min="9" max="9" width="1.6640625" style="237" customWidth="1"/>
    <col min="10" max="11" width="10.88671875" style="237" customWidth="1"/>
    <col min="12" max="12" width="1.6640625" style="237" customWidth="1"/>
    <col min="13" max="14" width="11.5546875" style="237" customWidth="1"/>
    <col min="15" max="15" width="1.6640625" style="237" customWidth="1"/>
    <col min="16" max="17" width="11.5546875" style="237" customWidth="1"/>
    <col min="18" max="18" width="1.6640625" style="237" customWidth="1"/>
    <col min="19" max="19" width="20.109375" style="237" customWidth="1"/>
    <col min="20" max="20" width="1.6640625" style="237" customWidth="1"/>
    <col min="21" max="22" width="12.5546875" style="237" bestFit="1" customWidth="1"/>
    <col min="23" max="23" width="1.6640625" style="237" customWidth="1"/>
    <col min="24" max="24" width="19.6640625" style="237" customWidth="1"/>
    <col min="25" max="25" width="1.6640625" style="237" customWidth="1"/>
    <col min="26" max="27" width="9.44140625" style="237" customWidth="1"/>
    <col min="28" max="28" width="1.6640625" style="237" customWidth="1"/>
    <col min="29" max="30" width="9.5546875" style="237" customWidth="1"/>
    <col min="31" max="31" width="1.6640625" style="237" customWidth="1"/>
    <col min="32" max="33" width="9.109375" style="237"/>
    <col min="34" max="34" width="1.6640625" style="237" customWidth="1"/>
    <col min="35" max="35" width="10" style="237" bestFit="1" customWidth="1"/>
    <col min="36" max="36" width="9.109375" style="237"/>
    <col min="37" max="37" width="1.6640625" style="237" customWidth="1"/>
    <col min="38" max="42" width="9.109375" style="237"/>
    <col min="43" max="43" width="1.6640625" style="237" customWidth="1"/>
    <col min="44" max="45" width="9.109375" style="237"/>
    <col min="46" max="46" width="1.6640625" style="237" customWidth="1"/>
    <col min="47" max="48" width="9.109375" style="237"/>
    <col min="49" max="49" width="1.6640625" style="237" customWidth="1"/>
    <col min="50" max="51" width="9.109375" style="237"/>
    <col min="52" max="52" width="14.44140625" style="237" customWidth="1"/>
    <col min="53" max="53" width="1.6640625" style="237" customWidth="1"/>
    <col min="54" max="55" width="9.109375" style="237"/>
    <col min="56" max="56" width="1.6640625" style="237" customWidth="1"/>
    <col min="57" max="58" width="12.6640625" style="237" bestFit="1" customWidth="1"/>
    <col min="59" max="59" width="1.6640625" style="237" customWidth="1"/>
    <col min="60" max="60" width="20.6640625" style="237" customWidth="1"/>
    <col min="61" max="61" width="1.6640625" style="237" customWidth="1"/>
    <col min="62" max="62" width="20.6640625" style="237" customWidth="1"/>
    <col min="63" max="63" width="1.6640625" style="237" customWidth="1"/>
    <col min="64" max="67" width="8.33203125" style="237" customWidth="1"/>
    <col min="68" max="68" width="1.6640625" style="237" customWidth="1"/>
    <col min="69" max="72" width="8.6640625" style="237" customWidth="1"/>
    <col min="73" max="73" width="1.6640625" style="237" customWidth="1"/>
    <col min="74" max="77" width="9.109375" style="237"/>
    <col min="78" max="78" width="2.44140625" style="237" customWidth="1"/>
    <col min="79" max="16384" width="9.109375" style="237"/>
  </cols>
  <sheetData>
    <row r="2" spans="1:89">
      <c r="B2" s="550" t="s">
        <v>578</v>
      </c>
      <c r="C2" s="550"/>
      <c r="D2" s="550"/>
      <c r="E2" s="244"/>
      <c r="F2" s="550" t="s">
        <v>579</v>
      </c>
      <c r="G2" s="550"/>
      <c r="H2" s="551"/>
      <c r="I2" s="244"/>
      <c r="J2" s="550" t="s">
        <v>582</v>
      </c>
      <c r="K2" s="550"/>
      <c r="L2" s="244"/>
      <c r="M2" s="550" t="s">
        <v>583</v>
      </c>
      <c r="N2" s="550"/>
      <c r="O2" s="244"/>
      <c r="P2" s="550" t="s">
        <v>588</v>
      </c>
      <c r="Q2" s="550"/>
      <c r="R2" s="244"/>
      <c r="S2" s="245" t="s">
        <v>589</v>
      </c>
      <c r="T2" s="244"/>
      <c r="U2" s="550" t="s">
        <v>591</v>
      </c>
      <c r="V2" s="550"/>
      <c r="W2" s="244"/>
      <c r="X2" s="245" t="s">
        <v>592</v>
      </c>
      <c r="Y2" s="244"/>
      <c r="Z2" s="550" t="s">
        <v>593</v>
      </c>
      <c r="AA2" s="550"/>
      <c r="AB2" s="244"/>
      <c r="AC2" s="550" t="s">
        <v>596</v>
      </c>
      <c r="AD2" s="550"/>
      <c r="AE2" s="244"/>
      <c r="AF2" s="550" t="s">
        <v>597</v>
      </c>
      <c r="AG2" s="550"/>
      <c r="AH2" s="244"/>
      <c r="AI2" s="550" t="s">
        <v>598</v>
      </c>
      <c r="AJ2" s="550"/>
      <c r="AK2" s="244"/>
      <c r="AL2" s="550" t="s">
        <v>599</v>
      </c>
      <c r="AM2" s="550"/>
      <c r="AN2" s="551"/>
      <c r="AO2" s="551"/>
      <c r="AP2" s="552"/>
      <c r="AQ2" s="244"/>
      <c r="AR2" s="550" t="s">
        <v>601</v>
      </c>
      <c r="AS2" s="550"/>
      <c r="AT2" s="244"/>
      <c r="AU2" s="550" t="s">
        <v>602</v>
      </c>
      <c r="AV2" s="550"/>
      <c r="AW2" s="244"/>
      <c r="AX2" s="550" t="s">
        <v>603</v>
      </c>
      <c r="AY2" s="550"/>
      <c r="AZ2" s="551"/>
      <c r="BB2" s="550" t="s">
        <v>604</v>
      </c>
      <c r="BC2" s="550"/>
      <c r="BD2" s="244"/>
      <c r="BE2" s="550" t="s">
        <v>605</v>
      </c>
      <c r="BF2" s="550"/>
      <c r="BG2" s="244"/>
      <c r="BH2" s="245" t="s">
        <v>634</v>
      </c>
      <c r="BI2" s="244"/>
      <c r="BJ2" s="245" t="s">
        <v>635</v>
      </c>
      <c r="BK2" s="244"/>
      <c r="BL2" s="550" t="s">
        <v>606</v>
      </c>
      <c r="BM2" s="550"/>
      <c r="BN2" s="551"/>
      <c r="BO2" s="551"/>
      <c r="BP2" s="244"/>
      <c r="BQ2" s="550" t="s">
        <v>607</v>
      </c>
      <c r="BR2" s="550"/>
      <c r="BS2" s="551"/>
      <c r="BT2" s="551"/>
      <c r="BU2" s="244"/>
      <c r="BV2" s="550" t="s">
        <v>608</v>
      </c>
      <c r="BW2" s="550"/>
      <c r="BX2" s="551"/>
      <c r="BY2" s="551"/>
    </row>
    <row r="3" spans="1:89" ht="101.25" customHeight="1">
      <c r="A3" s="241" t="s">
        <v>64</v>
      </c>
      <c r="B3" s="242" t="s">
        <v>74</v>
      </c>
      <c r="C3" s="242" t="s">
        <v>226</v>
      </c>
      <c r="D3" s="242" t="s">
        <v>68</v>
      </c>
      <c r="E3" s="243"/>
      <c r="F3" s="242" t="s">
        <v>576</v>
      </c>
      <c r="G3" s="242" t="s">
        <v>577</v>
      </c>
      <c r="H3" s="242" t="s">
        <v>580</v>
      </c>
      <c r="I3" s="243"/>
      <c r="J3" s="242" t="s">
        <v>111</v>
      </c>
      <c r="K3" s="242" t="s">
        <v>581</v>
      </c>
      <c r="L3" s="243"/>
      <c r="M3" s="242" t="s">
        <v>584</v>
      </c>
      <c r="N3" s="242" t="s">
        <v>585</v>
      </c>
      <c r="O3" s="243"/>
      <c r="P3" s="242" t="s">
        <v>586</v>
      </c>
      <c r="Q3" s="242" t="s">
        <v>587</v>
      </c>
      <c r="R3" s="243"/>
      <c r="S3" s="242" t="s">
        <v>590</v>
      </c>
      <c r="T3" s="244"/>
      <c r="U3" s="242" t="s">
        <v>9</v>
      </c>
      <c r="V3" s="242" t="s">
        <v>188</v>
      </c>
      <c r="W3" s="244"/>
      <c r="X3" s="242" t="s">
        <v>410</v>
      </c>
      <c r="Y3" s="244"/>
      <c r="Z3" s="242" t="s">
        <v>594</v>
      </c>
      <c r="AA3" s="242" t="s">
        <v>595</v>
      </c>
      <c r="AB3" s="244"/>
      <c r="AC3" s="242" t="s">
        <v>594</v>
      </c>
      <c r="AD3" s="242" t="s">
        <v>595</v>
      </c>
      <c r="AE3" s="244"/>
      <c r="AF3" s="242" t="s">
        <v>420</v>
      </c>
      <c r="AG3" s="242" t="s">
        <v>185</v>
      </c>
      <c r="AH3" s="244"/>
      <c r="AI3" s="242" t="s">
        <v>420</v>
      </c>
      <c r="AJ3" s="242" t="s">
        <v>185</v>
      </c>
      <c r="AK3" s="244"/>
      <c r="AL3" s="242" t="s">
        <v>425</v>
      </c>
      <c r="AM3" s="242" t="s">
        <v>600</v>
      </c>
      <c r="AN3" s="242" t="s">
        <v>640</v>
      </c>
      <c r="AO3" s="242" t="s">
        <v>638</v>
      </c>
      <c r="AP3" s="242" t="s">
        <v>639</v>
      </c>
      <c r="AQ3" s="244"/>
      <c r="AR3" s="242" t="s">
        <v>29</v>
      </c>
      <c r="AS3" s="242" t="s">
        <v>31</v>
      </c>
      <c r="AT3" s="244"/>
      <c r="AU3" s="242" t="s">
        <v>29</v>
      </c>
      <c r="AV3" s="242" t="s">
        <v>31</v>
      </c>
      <c r="AW3" s="244"/>
      <c r="AX3" s="242" t="s">
        <v>631</v>
      </c>
      <c r="AY3" s="242" t="s">
        <v>632</v>
      </c>
      <c r="AZ3" s="242" t="s">
        <v>633</v>
      </c>
      <c r="BB3" s="242" t="s">
        <v>623</v>
      </c>
      <c r="BC3" s="242" t="s">
        <v>624</v>
      </c>
      <c r="BD3" s="244"/>
      <c r="BE3" s="242" t="s">
        <v>613</v>
      </c>
      <c r="BF3" s="242" t="s">
        <v>614</v>
      </c>
      <c r="BG3" s="244"/>
      <c r="BH3" s="242" t="s">
        <v>636</v>
      </c>
      <c r="BI3" s="243"/>
      <c r="BJ3" s="242" t="s">
        <v>637</v>
      </c>
      <c r="BK3" s="244"/>
      <c r="BL3" s="242" t="s">
        <v>615</v>
      </c>
      <c r="BM3" s="242" t="s">
        <v>616</v>
      </c>
      <c r="BN3" s="242" t="s">
        <v>617</v>
      </c>
      <c r="BO3" s="242" t="s">
        <v>618</v>
      </c>
      <c r="BP3" s="244"/>
      <c r="BQ3" s="242" t="s">
        <v>619</v>
      </c>
      <c r="BR3" s="242" t="s">
        <v>620</v>
      </c>
      <c r="BS3" s="242" t="s">
        <v>621</v>
      </c>
      <c r="BT3" s="242" t="s">
        <v>622</v>
      </c>
      <c r="BU3" s="244"/>
      <c r="BV3" s="242" t="s">
        <v>625</v>
      </c>
      <c r="BW3" s="242" t="s">
        <v>626</v>
      </c>
      <c r="BX3" s="242" t="s">
        <v>627</v>
      </c>
      <c r="BY3" s="242" t="s">
        <v>628</v>
      </c>
    </row>
    <row r="4" spans="1:89">
      <c r="A4" s="42">
        <v>1990</v>
      </c>
      <c r="B4" s="236">
        <f>'Tabell 1.1 (1)'!Z27</f>
        <v>1207</v>
      </c>
      <c r="C4" s="236">
        <f>'Tabell 1.1 (1)'!T27-'Tabell 1.1 (1)'!Z27</f>
        <v>9986</v>
      </c>
      <c r="D4" s="236">
        <f>B4+C4</f>
        <v>11193</v>
      </c>
      <c r="F4" s="234">
        <v>8.5906300000000009</v>
      </c>
      <c r="G4" s="134"/>
      <c r="H4" s="134"/>
      <c r="J4" s="134"/>
      <c r="K4" s="134"/>
      <c r="M4" s="134">
        <v>750</v>
      </c>
      <c r="N4" s="134">
        <v>655</v>
      </c>
      <c r="O4" s="134"/>
      <c r="P4" s="134">
        <v>565</v>
      </c>
      <c r="Q4" s="134">
        <v>1473</v>
      </c>
      <c r="R4" s="134"/>
      <c r="S4" s="134"/>
      <c r="T4" s="134"/>
      <c r="U4" s="134">
        <v>62.067999999999998</v>
      </c>
      <c r="V4" s="134">
        <v>40.750999999999998</v>
      </c>
      <c r="W4" s="134"/>
      <c r="X4" s="134">
        <v>17156.5</v>
      </c>
      <c r="Y4" s="134"/>
      <c r="Z4" s="134"/>
      <c r="AA4" s="134"/>
      <c r="AB4" s="134"/>
      <c r="AC4" s="134"/>
      <c r="AD4" s="134"/>
      <c r="AE4" s="134"/>
      <c r="AF4" s="134">
        <v>55575</v>
      </c>
      <c r="AG4" s="134">
        <v>19102</v>
      </c>
      <c r="AH4" s="134"/>
      <c r="AI4" s="134"/>
      <c r="AJ4" s="134"/>
      <c r="AK4" s="134"/>
      <c r="AL4" s="134">
        <v>3203</v>
      </c>
      <c r="AM4" s="134">
        <v>13152</v>
      </c>
      <c r="AN4" s="134">
        <v>2402</v>
      </c>
      <c r="AO4" s="134"/>
      <c r="AP4" s="134"/>
      <c r="AQ4" s="134"/>
      <c r="AR4" s="134"/>
      <c r="AS4" s="134"/>
      <c r="AT4" s="134"/>
      <c r="AU4" s="134"/>
      <c r="AV4" s="134"/>
      <c r="AW4" s="134"/>
      <c r="AX4" s="134"/>
      <c r="AY4" s="134"/>
      <c r="AZ4" s="134"/>
      <c r="BB4" s="134">
        <v>1978</v>
      </c>
      <c r="BC4" s="134">
        <v>4622</v>
      </c>
      <c r="BD4" s="134"/>
      <c r="BE4" s="134">
        <f>BB4/(BB4+BC4)*100</f>
        <v>29.969696969696969</v>
      </c>
      <c r="BF4" s="134">
        <f>100-BE4</f>
        <v>70.030303030303031</v>
      </c>
      <c r="BG4" s="134"/>
      <c r="BH4" s="134">
        <v>330</v>
      </c>
      <c r="BI4" s="134"/>
      <c r="BJ4" s="134">
        <v>1507</v>
      </c>
      <c r="BL4" s="238"/>
      <c r="BM4" s="238"/>
      <c r="BN4" s="238"/>
      <c r="BQ4" s="238"/>
      <c r="BR4" s="238"/>
      <c r="BS4" s="238"/>
      <c r="BV4" s="238"/>
      <c r="BW4" s="238"/>
      <c r="BX4" s="238"/>
    </row>
    <row r="5" spans="1:89">
      <c r="A5" s="42">
        <v>1991</v>
      </c>
      <c r="B5" s="236">
        <f>'Tabell 1.1 (1)'!Z28</f>
        <v>1296</v>
      </c>
      <c r="C5" s="236">
        <f>'Tabell 1.1 (1)'!T28-'Tabell 1.1 (1)'!Z28</f>
        <v>9754</v>
      </c>
      <c r="D5" s="236">
        <f t="shared" ref="D5:D27" si="0">B5+C5</f>
        <v>11050</v>
      </c>
      <c r="F5" s="234">
        <v>8.6441189999999999</v>
      </c>
      <c r="G5" s="134"/>
      <c r="H5" s="134"/>
      <c r="J5" s="134">
        <v>2319</v>
      </c>
      <c r="K5" s="134">
        <v>13169</v>
      </c>
      <c r="M5" s="134">
        <v>665</v>
      </c>
      <c r="N5" s="134">
        <v>667</v>
      </c>
      <c r="O5" s="134"/>
      <c r="P5" s="134">
        <v>653</v>
      </c>
      <c r="Q5" s="134">
        <v>1393</v>
      </c>
      <c r="R5" s="134"/>
      <c r="S5" s="134"/>
      <c r="T5" s="134"/>
      <c r="U5" s="134">
        <v>61.706000000000003</v>
      </c>
      <c r="V5" s="134">
        <v>39.140500000000003</v>
      </c>
      <c r="W5" s="134"/>
      <c r="X5" s="134">
        <v>16871</v>
      </c>
      <c r="Y5" s="134"/>
      <c r="Z5" s="134"/>
      <c r="AA5" s="134"/>
      <c r="AB5" s="134"/>
      <c r="AC5" s="134"/>
      <c r="AD5" s="134"/>
      <c r="AE5" s="134"/>
      <c r="AF5" s="134">
        <v>53774</v>
      </c>
      <c r="AG5" s="134">
        <v>18816</v>
      </c>
      <c r="AH5" s="134"/>
      <c r="AI5" s="134"/>
      <c r="AJ5" s="134"/>
      <c r="AK5" s="134"/>
      <c r="AL5" s="134">
        <v>3268</v>
      </c>
      <c r="AM5" s="134">
        <v>12477</v>
      </c>
      <c r="AN5" s="134">
        <v>2446</v>
      </c>
      <c r="AO5" s="134"/>
      <c r="AP5" s="134"/>
      <c r="AQ5" s="134"/>
      <c r="AR5" s="134"/>
      <c r="AS5" s="134"/>
      <c r="AT5" s="134"/>
      <c r="AU5" s="134"/>
      <c r="AV5" s="134"/>
      <c r="AW5" s="134"/>
      <c r="AX5" s="134"/>
      <c r="AY5" s="134"/>
      <c r="AZ5" s="134"/>
      <c r="BB5" s="134">
        <v>1914</v>
      </c>
      <c r="BC5" s="134">
        <v>4071</v>
      </c>
      <c r="BD5" s="134"/>
      <c r="BE5" s="134">
        <f t="shared" ref="BE5:BE34" si="1">BB5/(BB5+BC5)*100</f>
        <v>31.979949874686721</v>
      </c>
      <c r="BF5" s="134">
        <f t="shared" ref="BF5:BF34" si="2">100-BE5</f>
        <v>68.020050125313276</v>
      </c>
      <c r="BG5" s="134"/>
      <c r="BH5" s="134">
        <v>329</v>
      </c>
      <c r="BI5" s="134"/>
      <c r="BJ5" s="134">
        <v>1410</v>
      </c>
      <c r="BL5" s="238"/>
      <c r="BM5" s="238"/>
      <c r="BN5" s="238"/>
      <c r="BQ5" s="238"/>
      <c r="BR5" s="238"/>
      <c r="BS5" s="238"/>
      <c r="BV5" s="238"/>
      <c r="BW5" s="238"/>
      <c r="BX5" s="238"/>
    </row>
    <row r="6" spans="1:89">
      <c r="A6" s="42">
        <v>1992</v>
      </c>
      <c r="B6" s="236">
        <f>'Tabell 1.1 (1)'!Z29</f>
        <v>1314</v>
      </c>
      <c r="C6" s="236">
        <f>'Tabell 1.1 (1)'!T29-'Tabell 1.1 (1)'!Z29</f>
        <v>9674</v>
      </c>
      <c r="D6" s="236">
        <f t="shared" si="0"/>
        <v>10988</v>
      </c>
      <c r="F6" s="234">
        <v>8.6920129999999993</v>
      </c>
      <c r="G6" s="134"/>
      <c r="H6" s="134"/>
      <c r="J6" s="134">
        <v>2327</v>
      </c>
      <c r="K6" s="134">
        <v>12516</v>
      </c>
      <c r="M6" s="134">
        <v>661</v>
      </c>
      <c r="N6" s="134">
        <v>645</v>
      </c>
      <c r="O6" s="134"/>
      <c r="P6" s="134">
        <v>735</v>
      </c>
      <c r="Q6" s="134">
        <v>1204</v>
      </c>
      <c r="R6" s="134"/>
      <c r="S6" s="134"/>
      <c r="T6" s="134"/>
      <c r="U6" s="134">
        <v>62.555</v>
      </c>
      <c r="V6" s="134">
        <v>36.668999999999997</v>
      </c>
      <c r="W6" s="134"/>
      <c r="X6" s="134">
        <v>16969</v>
      </c>
      <c r="Y6" s="134"/>
      <c r="Z6" s="134"/>
      <c r="AA6" s="134"/>
      <c r="AB6" s="134"/>
      <c r="AC6" s="134"/>
      <c r="AD6" s="134"/>
      <c r="AE6" s="134"/>
      <c r="AF6" s="134">
        <v>50092</v>
      </c>
      <c r="AG6" s="134">
        <v>19202</v>
      </c>
      <c r="AH6" s="134"/>
      <c r="AI6" s="134"/>
      <c r="AJ6" s="134"/>
      <c r="AK6" s="134"/>
      <c r="AL6" s="134">
        <v>3374</v>
      </c>
      <c r="AM6" s="134">
        <v>12390</v>
      </c>
      <c r="AN6" s="134">
        <v>2724</v>
      </c>
      <c r="AO6" s="134"/>
      <c r="AP6" s="134"/>
      <c r="AQ6" s="134"/>
      <c r="AR6" s="134"/>
      <c r="AS6" s="134"/>
      <c r="AT6" s="134"/>
      <c r="AU6" s="134"/>
      <c r="AV6" s="134"/>
      <c r="AW6" s="134"/>
      <c r="AX6" s="134"/>
      <c r="AY6" s="134"/>
      <c r="AZ6" s="134"/>
      <c r="BB6" s="134">
        <v>2021</v>
      </c>
      <c r="BC6" s="134">
        <v>3942</v>
      </c>
      <c r="BD6" s="134"/>
      <c r="BE6" s="134">
        <f t="shared" si="1"/>
        <v>33.892336072446753</v>
      </c>
      <c r="BF6" s="134">
        <f t="shared" si="2"/>
        <v>66.107663927553247</v>
      </c>
      <c r="BG6" s="134"/>
      <c r="BH6" s="134">
        <v>328</v>
      </c>
      <c r="BI6" s="134"/>
      <c r="BJ6" s="134">
        <v>1408</v>
      </c>
      <c r="BL6" s="238"/>
      <c r="BM6" s="238"/>
      <c r="BN6" s="238"/>
      <c r="BQ6" s="238"/>
      <c r="BR6" s="238"/>
      <c r="BS6" s="238"/>
      <c r="BV6" s="238"/>
      <c r="BW6" s="238"/>
      <c r="BX6" s="238"/>
    </row>
    <row r="7" spans="1:89">
      <c r="A7" s="42">
        <v>1993</v>
      </c>
      <c r="B7" s="236">
        <f>'Tabell 1.1 (1)'!Z30</f>
        <v>1321</v>
      </c>
      <c r="C7" s="236">
        <f>'Tabell 1.1 (1)'!T30-'Tabell 1.1 (1)'!Z30</f>
        <v>9567</v>
      </c>
      <c r="D7" s="236">
        <f t="shared" si="0"/>
        <v>10888</v>
      </c>
      <c r="F7" s="234">
        <v>8.7451089999999994</v>
      </c>
      <c r="G7" s="134"/>
      <c r="H7" s="134"/>
      <c r="J7" s="134">
        <v>2416</v>
      </c>
      <c r="K7" s="134">
        <v>13577</v>
      </c>
      <c r="M7" s="134">
        <v>555</v>
      </c>
      <c r="N7" s="134">
        <v>630</v>
      </c>
      <c r="O7" s="134"/>
      <c r="P7" s="134">
        <v>848</v>
      </c>
      <c r="Q7" s="134">
        <v>1130</v>
      </c>
      <c r="R7" s="134"/>
      <c r="S7" s="134"/>
      <c r="T7" s="134"/>
      <c r="U7" s="134">
        <v>62.124000000000002</v>
      </c>
      <c r="V7" s="134">
        <v>37.414999999999999</v>
      </c>
      <c r="W7" s="134"/>
      <c r="X7" s="134">
        <v>16371.856</v>
      </c>
      <c r="Y7" s="134"/>
      <c r="Z7" s="134"/>
      <c r="AA7" s="134"/>
      <c r="AB7" s="134"/>
      <c r="AC7" s="134"/>
      <c r="AD7" s="134"/>
      <c r="AE7" s="134"/>
      <c r="AF7" s="134">
        <v>50277</v>
      </c>
      <c r="AG7" s="134">
        <v>18578</v>
      </c>
      <c r="AH7" s="134"/>
      <c r="AI7" s="134"/>
      <c r="AJ7" s="134"/>
      <c r="AK7" s="134"/>
      <c r="AL7" s="134">
        <v>3415</v>
      </c>
      <c r="AM7" s="134">
        <v>12147</v>
      </c>
      <c r="AN7" s="134">
        <v>2374</v>
      </c>
      <c r="AO7" s="134"/>
      <c r="AP7" s="134"/>
      <c r="AQ7" s="134"/>
      <c r="AR7" s="134"/>
      <c r="AS7" s="134"/>
      <c r="AT7" s="134"/>
      <c r="AU7" s="134"/>
      <c r="AV7" s="134"/>
      <c r="AW7" s="134"/>
      <c r="AX7" s="134"/>
      <c r="AY7" s="134"/>
      <c r="AZ7" s="134"/>
      <c r="BB7" s="134">
        <v>2098</v>
      </c>
      <c r="BC7" s="134">
        <v>4324</v>
      </c>
      <c r="BD7" s="134"/>
      <c r="BE7" s="134">
        <f t="shared" si="1"/>
        <v>32.668950482715665</v>
      </c>
      <c r="BF7" s="134">
        <f t="shared" si="2"/>
        <v>67.331049517284328</v>
      </c>
      <c r="BG7" s="134"/>
      <c r="BH7" s="134">
        <v>327</v>
      </c>
      <c r="BI7" s="134"/>
      <c r="BJ7" s="134">
        <v>1407</v>
      </c>
      <c r="BL7" s="238"/>
      <c r="BM7" s="238"/>
      <c r="BN7" s="238"/>
      <c r="BQ7" s="238"/>
      <c r="BR7" s="238"/>
      <c r="BS7" s="238"/>
      <c r="BV7" s="238"/>
      <c r="BW7" s="238"/>
      <c r="BX7" s="238"/>
    </row>
    <row r="8" spans="1:89">
      <c r="A8" s="42">
        <v>1994</v>
      </c>
      <c r="B8" s="236">
        <f>'Tabell 1.1 (1)'!Z31</f>
        <v>1354</v>
      </c>
      <c r="C8" s="236">
        <f>'Tabell 1.1 (1)'!T31-'Tabell 1.1 (1)'!Z31</f>
        <v>9449</v>
      </c>
      <c r="D8" s="236">
        <f t="shared" si="0"/>
        <v>10803</v>
      </c>
      <c r="F8" s="234">
        <v>8.8163809999999998</v>
      </c>
      <c r="G8" s="134"/>
      <c r="H8" s="134"/>
      <c r="J8" s="134">
        <v>2469</v>
      </c>
      <c r="K8" s="134">
        <v>12643</v>
      </c>
      <c r="M8" s="134">
        <v>544</v>
      </c>
      <c r="N8" s="134">
        <v>645</v>
      </c>
      <c r="O8" s="134"/>
      <c r="P8" s="134">
        <v>925</v>
      </c>
      <c r="Q8" s="134">
        <v>1093</v>
      </c>
      <c r="R8" s="134"/>
      <c r="S8" s="134"/>
      <c r="T8" s="134"/>
      <c r="U8" s="134">
        <v>62.567999999999998</v>
      </c>
      <c r="V8" s="134">
        <v>38.387099999999997</v>
      </c>
      <c r="W8" s="134"/>
      <c r="X8" s="134">
        <v>17227.356</v>
      </c>
      <c r="Y8" s="134"/>
      <c r="Z8" s="134"/>
      <c r="AA8" s="134"/>
      <c r="AB8" s="134"/>
      <c r="AC8" s="134"/>
      <c r="AD8" s="134"/>
      <c r="AE8" s="134"/>
      <c r="AF8" s="134">
        <v>54040</v>
      </c>
      <c r="AG8" s="134">
        <v>19069</v>
      </c>
      <c r="AH8" s="134"/>
      <c r="AI8" s="134"/>
      <c r="AJ8" s="134"/>
      <c r="AK8" s="134"/>
      <c r="AL8" s="134">
        <v>3582</v>
      </c>
      <c r="AM8" s="134">
        <v>12211</v>
      </c>
      <c r="AN8" s="134">
        <v>2779</v>
      </c>
      <c r="AO8" s="134"/>
      <c r="AP8" s="134"/>
      <c r="AQ8" s="134"/>
      <c r="AR8" s="134"/>
      <c r="AS8" s="134"/>
      <c r="AT8" s="134"/>
      <c r="AU8" s="134"/>
      <c r="AV8" s="134"/>
      <c r="AW8" s="134"/>
      <c r="AX8" s="134"/>
      <c r="AY8" s="134"/>
      <c r="AZ8" s="134"/>
      <c r="BA8" s="239"/>
      <c r="BB8" s="134">
        <v>2127</v>
      </c>
      <c r="BC8" s="134">
        <v>4380</v>
      </c>
      <c r="BD8" s="134"/>
      <c r="BE8" s="134">
        <f t="shared" si="1"/>
        <v>32.687874596588287</v>
      </c>
      <c r="BF8" s="134">
        <f t="shared" si="2"/>
        <v>67.312125403411713</v>
      </c>
      <c r="BG8" s="134"/>
      <c r="BH8" s="134">
        <v>346</v>
      </c>
      <c r="BI8" s="134"/>
      <c r="BJ8" s="134">
        <v>1391</v>
      </c>
      <c r="BL8" s="238"/>
      <c r="BM8" s="238"/>
      <c r="BN8" s="238"/>
      <c r="BQ8" s="238"/>
      <c r="BR8" s="238"/>
      <c r="BS8" s="238"/>
      <c r="BV8" s="238"/>
      <c r="BW8" s="238"/>
      <c r="BX8" s="238"/>
      <c r="BZ8" s="239"/>
      <c r="CA8" s="239"/>
      <c r="CB8" s="239"/>
      <c r="CC8" s="239"/>
      <c r="CD8" s="239"/>
      <c r="CE8" s="239"/>
      <c r="CF8" s="239"/>
      <c r="CG8" s="239"/>
      <c r="CH8" s="239"/>
      <c r="CI8" s="239"/>
      <c r="CJ8" s="239"/>
    </row>
    <row r="9" spans="1:89">
      <c r="A9" s="42">
        <v>1995</v>
      </c>
      <c r="B9" s="236">
        <f>'Tabell 1.1 (1)'!Z32</f>
        <v>1449</v>
      </c>
      <c r="C9" s="236">
        <f>'Tabell 1.1 (1)'!T32-'Tabell 1.1 (1)'!Z32</f>
        <v>9476</v>
      </c>
      <c r="D9" s="236">
        <f t="shared" si="0"/>
        <v>10925</v>
      </c>
      <c r="F9" s="234">
        <v>8.8374959999999998</v>
      </c>
      <c r="G9" s="134"/>
      <c r="H9" s="134"/>
      <c r="J9" s="134">
        <v>2515</v>
      </c>
      <c r="K9" s="134">
        <v>11795</v>
      </c>
      <c r="M9" s="134">
        <v>550</v>
      </c>
      <c r="N9" s="134">
        <v>617</v>
      </c>
      <c r="O9" s="134"/>
      <c r="P9" s="134">
        <v>925</v>
      </c>
      <c r="Q9" s="134">
        <v>1041</v>
      </c>
      <c r="R9" s="134"/>
      <c r="S9" s="134"/>
      <c r="T9" s="134"/>
      <c r="U9" s="134">
        <v>64.157899999999998</v>
      </c>
      <c r="V9" s="134">
        <v>40.419351999999996</v>
      </c>
      <c r="W9" s="134"/>
      <c r="X9" s="134">
        <v>17425.629866666666</v>
      </c>
      <c r="Y9" s="134"/>
      <c r="Z9" s="134"/>
      <c r="AA9" s="134"/>
      <c r="AB9" s="134"/>
      <c r="AC9" s="134"/>
      <c r="AD9" s="134"/>
      <c r="AE9" s="134"/>
      <c r="AF9" s="134">
        <v>56048</v>
      </c>
      <c r="AG9" s="134">
        <v>19391</v>
      </c>
      <c r="AH9" s="134"/>
      <c r="AI9" s="134"/>
      <c r="AJ9" s="134"/>
      <c r="AK9" s="134"/>
      <c r="AL9" s="134">
        <v>3800</v>
      </c>
      <c r="AM9" s="134">
        <v>12536</v>
      </c>
      <c r="AN9" s="134">
        <v>2585</v>
      </c>
      <c r="AO9" s="134"/>
      <c r="AP9" s="134"/>
      <c r="AQ9" s="134"/>
      <c r="AR9" s="134"/>
      <c r="AS9" s="134"/>
      <c r="AT9" s="134"/>
      <c r="AU9" s="134"/>
      <c r="AV9" s="134"/>
      <c r="AW9" s="134"/>
      <c r="AX9" s="134"/>
      <c r="AY9" s="134"/>
      <c r="AZ9" s="134"/>
      <c r="BA9" s="239"/>
      <c r="BB9" s="134">
        <v>2241</v>
      </c>
      <c r="BC9" s="134">
        <v>4591</v>
      </c>
      <c r="BD9" s="134"/>
      <c r="BE9" s="134">
        <f t="shared" si="1"/>
        <v>32.801522248243558</v>
      </c>
      <c r="BF9" s="134">
        <f t="shared" si="2"/>
        <v>67.198477751756442</v>
      </c>
      <c r="BG9" s="134"/>
      <c r="BH9" s="134">
        <v>366</v>
      </c>
      <c r="BI9" s="134"/>
      <c r="BJ9" s="134">
        <v>1441</v>
      </c>
      <c r="BL9" s="238"/>
      <c r="BM9" s="238"/>
      <c r="BN9" s="238"/>
      <c r="BQ9" s="238"/>
      <c r="BR9" s="238"/>
      <c r="BS9" s="238"/>
      <c r="BV9" s="238"/>
      <c r="BW9" s="238"/>
      <c r="BX9" s="238"/>
      <c r="BZ9" s="239"/>
      <c r="CA9" s="239"/>
      <c r="CB9" s="239"/>
      <c r="CC9" s="239"/>
      <c r="CD9" s="239"/>
      <c r="CE9" s="239"/>
      <c r="CF9" s="239"/>
      <c r="CG9" s="239"/>
      <c r="CH9" s="239"/>
      <c r="CI9" s="239"/>
      <c r="CJ9" s="239"/>
    </row>
    <row r="10" spans="1:89">
      <c r="A10" s="42">
        <v>1996</v>
      </c>
      <c r="B10" s="236">
        <f>'Tabell 1.1 (1)'!Z33</f>
        <v>1466</v>
      </c>
      <c r="C10" s="236">
        <f>'Tabell 1.1 (1)'!T33-'Tabell 1.1 (1)'!Z33</f>
        <v>9498</v>
      </c>
      <c r="D10" s="236">
        <f t="shared" si="0"/>
        <v>10964</v>
      </c>
      <c r="F10" s="234">
        <v>8.8444990000000008</v>
      </c>
      <c r="G10" s="134"/>
      <c r="H10" s="134"/>
      <c r="J10" s="134">
        <v>2515</v>
      </c>
      <c r="K10" s="134">
        <v>11169</v>
      </c>
      <c r="M10" s="134">
        <v>556</v>
      </c>
      <c r="N10" s="134">
        <v>587</v>
      </c>
      <c r="O10" s="134"/>
      <c r="P10" s="134">
        <v>945</v>
      </c>
      <c r="Q10" s="134">
        <v>957</v>
      </c>
      <c r="R10" s="134"/>
      <c r="S10" s="134"/>
      <c r="T10" s="134"/>
      <c r="U10" s="134">
        <v>67.382000000000005</v>
      </c>
      <c r="V10" s="134">
        <v>38.209060000000001</v>
      </c>
      <c r="W10" s="134"/>
      <c r="X10" s="134">
        <v>18422.576972800001</v>
      </c>
      <c r="Y10" s="134"/>
      <c r="Z10" s="134"/>
      <c r="AA10" s="134"/>
      <c r="AB10" s="134"/>
      <c r="AC10" s="134"/>
      <c r="AD10" s="134"/>
      <c r="AE10" s="134"/>
      <c r="AF10" s="134">
        <v>54197</v>
      </c>
      <c r="AG10" s="134">
        <v>18846</v>
      </c>
      <c r="AH10" s="134"/>
      <c r="AI10" s="134"/>
      <c r="AJ10" s="134"/>
      <c r="AK10" s="134"/>
      <c r="AL10" s="134">
        <v>3964</v>
      </c>
      <c r="AM10" s="134">
        <v>11925</v>
      </c>
      <c r="AN10" s="134">
        <v>2463</v>
      </c>
      <c r="AO10" s="134"/>
      <c r="AP10" s="134"/>
      <c r="AQ10" s="134"/>
      <c r="AR10" s="134"/>
      <c r="AS10" s="134"/>
      <c r="AT10" s="134"/>
      <c r="AU10" s="134"/>
      <c r="AV10" s="134"/>
      <c r="AW10" s="134"/>
      <c r="AX10" s="134"/>
      <c r="AY10" s="134"/>
      <c r="AZ10" s="134"/>
      <c r="BA10" s="239"/>
      <c r="BB10" s="134">
        <v>2339</v>
      </c>
      <c r="BC10" s="134">
        <v>4614</v>
      </c>
      <c r="BD10" s="134"/>
      <c r="BE10" s="134">
        <f t="shared" si="1"/>
        <v>33.640155328635124</v>
      </c>
      <c r="BF10" s="134">
        <f t="shared" si="2"/>
        <v>66.359844671364868</v>
      </c>
      <c r="BG10" s="134"/>
      <c r="BH10" s="134">
        <v>375</v>
      </c>
      <c r="BI10" s="134"/>
      <c r="BJ10" s="134">
        <v>1481</v>
      </c>
      <c r="BL10" s="238"/>
      <c r="BM10" s="238"/>
      <c r="BN10" s="238"/>
      <c r="BQ10" s="238"/>
      <c r="BR10" s="238"/>
      <c r="BS10" s="238"/>
      <c r="BU10" s="239"/>
      <c r="BV10" s="238"/>
      <c r="BW10" s="238"/>
      <c r="BX10" s="238"/>
      <c r="BZ10" s="239"/>
      <c r="CA10" s="239"/>
      <c r="CB10" s="239"/>
      <c r="CC10" s="239"/>
      <c r="CD10" s="239"/>
      <c r="CE10" s="239"/>
      <c r="CF10" s="239"/>
      <c r="CG10" s="239"/>
      <c r="CH10" s="239"/>
      <c r="CI10" s="239"/>
      <c r="CJ10" s="239"/>
      <c r="CK10" s="239"/>
    </row>
    <row r="11" spans="1:89">
      <c r="A11" s="42">
        <v>1997</v>
      </c>
      <c r="B11" s="236">
        <f>'Tabell 1.1 (1)'!Z34</f>
        <v>1510</v>
      </c>
      <c r="C11" s="236">
        <f>'Tabell 1.1 (1)'!T34-'Tabell 1.1 (1)'!Z34</f>
        <v>9431</v>
      </c>
      <c r="D11" s="236">
        <f t="shared" si="0"/>
        <v>10941</v>
      </c>
      <c r="F11" s="234">
        <v>8.8476250000000007</v>
      </c>
      <c r="G11" s="134"/>
      <c r="H11" s="134"/>
      <c r="J11" s="134">
        <v>2715</v>
      </c>
      <c r="K11" s="134">
        <v>10889</v>
      </c>
      <c r="M11" s="134">
        <v>542</v>
      </c>
      <c r="N11" s="134">
        <v>588</v>
      </c>
      <c r="O11" s="134"/>
      <c r="P11" s="134">
        <v>979</v>
      </c>
      <c r="Q11" s="134">
        <v>920</v>
      </c>
      <c r="R11" s="134"/>
      <c r="S11" s="134"/>
      <c r="T11" s="134"/>
      <c r="U11" s="134">
        <v>69.148750000000007</v>
      </c>
      <c r="V11" s="134">
        <v>36.633901999999999</v>
      </c>
      <c r="W11" s="134"/>
      <c r="X11" s="134">
        <v>18300.329581472728</v>
      </c>
      <c r="Y11" s="134"/>
      <c r="Z11" s="134"/>
      <c r="AA11" s="134"/>
      <c r="AB11" s="134"/>
      <c r="AC11" s="134">
        <v>4083</v>
      </c>
      <c r="AD11" s="134">
        <v>10888</v>
      </c>
      <c r="AE11" s="134"/>
      <c r="AF11" s="134">
        <v>55504</v>
      </c>
      <c r="AG11" s="134">
        <v>19181</v>
      </c>
      <c r="AH11" s="134"/>
      <c r="AI11" s="134"/>
      <c r="AJ11" s="134"/>
      <c r="AK11" s="134"/>
      <c r="AL11" s="134">
        <v>3951</v>
      </c>
      <c r="AM11" s="134">
        <v>12188</v>
      </c>
      <c r="AN11" s="134">
        <v>2466</v>
      </c>
      <c r="AO11" s="134">
        <v>1693.8211690000001</v>
      </c>
      <c r="AP11" s="134">
        <v>771.82321800000011</v>
      </c>
      <c r="AQ11" s="134"/>
      <c r="AR11" s="134">
        <v>11693</v>
      </c>
      <c r="AS11" s="134">
        <v>7487</v>
      </c>
      <c r="AT11" s="134"/>
      <c r="AU11" s="134">
        <v>2090</v>
      </c>
      <c r="AV11" s="134">
        <v>375</v>
      </c>
      <c r="AW11" s="134"/>
      <c r="AX11" s="134"/>
      <c r="AY11" s="134"/>
      <c r="AZ11" s="134"/>
      <c r="BA11" s="239"/>
      <c r="BB11" s="134">
        <v>2558</v>
      </c>
      <c r="BC11" s="134">
        <v>4464</v>
      </c>
      <c r="BD11" s="134"/>
      <c r="BE11" s="134">
        <f t="shared" si="1"/>
        <v>36.428367986328681</v>
      </c>
      <c r="BF11" s="134">
        <f t="shared" si="2"/>
        <v>63.571632013671319</v>
      </c>
      <c r="BG11" s="134"/>
      <c r="BH11" s="134">
        <v>376</v>
      </c>
      <c r="BI11" s="134"/>
      <c r="BJ11" s="134">
        <v>1496</v>
      </c>
      <c r="BL11" s="238"/>
      <c r="BM11" s="238"/>
      <c r="BN11" s="238"/>
      <c r="BQ11" s="238"/>
      <c r="BR11" s="238"/>
      <c r="BS11" s="238"/>
      <c r="BU11" s="239"/>
      <c r="BV11" s="238"/>
      <c r="BW11" s="238"/>
      <c r="BX11" s="238"/>
      <c r="BZ11" s="239"/>
      <c r="CA11" s="239"/>
      <c r="CB11" s="239"/>
      <c r="CC11" s="239"/>
      <c r="CD11" s="239"/>
      <c r="CE11" s="239"/>
      <c r="CF11" s="239"/>
      <c r="CG11" s="239"/>
      <c r="CH11" s="239"/>
      <c r="CI11" s="239"/>
      <c r="CJ11" s="239"/>
      <c r="CK11" s="239"/>
    </row>
    <row r="12" spans="1:89">
      <c r="A12" s="42">
        <v>1998</v>
      </c>
      <c r="B12" s="236">
        <f>'Tabell 1.1 (1)'!Z35</f>
        <v>1535</v>
      </c>
      <c r="C12" s="236">
        <f>'Tabell 1.1 (1)'!T35-'Tabell 1.1 (1)'!Z35</f>
        <v>9462</v>
      </c>
      <c r="D12" s="236">
        <f t="shared" si="0"/>
        <v>10997</v>
      </c>
      <c r="F12" s="234">
        <v>8.8543219999999998</v>
      </c>
      <c r="G12" s="134"/>
      <c r="H12" s="134"/>
      <c r="J12" s="134">
        <v>2785</v>
      </c>
      <c r="K12" s="134">
        <v>10713</v>
      </c>
      <c r="M12" s="134">
        <v>569</v>
      </c>
      <c r="N12" s="134">
        <v>580</v>
      </c>
      <c r="O12" s="134"/>
      <c r="P12" s="134">
        <v>976</v>
      </c>
      <c r="Q12" s="134">
        <v>911</v>
      </c>
      <c r="R12" s="134"/>
      <c r="S12" s="134"/>
      <c r="T12" s="134"/>
      <c r="U12" s="134">
        <v>69.285325999999998</v>
      </c>
      <c r="V12" s="134">
        <v>37.240569999999998</v>
      </c>
      <c r="W12" s="134"/>
      <c r="X12" s="134">
        <v>17802</v>
      </c>
      <c r="Y12" s="134"/>
      <c r="Z12" s="134"/>
      <c r="AA12" s="134"/>
      <c r="AB12" s="134"/>
      <c r="AC12" s="134">
        <v>4110</v>
      </c>
      <c r="AD12" s="134">
        <v>10963</v>
      </c>
      <c r="AE12" s="134"/>
      <c r="AF12" s="134">
        <v>54872</v>
      </c>
      <c r="AG12" s="134">
        <v>19163</v>
      </c>
      <c r="AH12" s="134"/>
      <c r="AI12" s="134"/>
      <c r="AJ12" s="134"/>
      <c r="AK12" s="134"/>
      <c r="AL12" s="134">
        <v>3854</v>
      </c>
      <c r="AM12" s="134">
        <v>12205</v>
      </c>
      <c r="AN12" s="134">
        <v>2538</v>
      </c>
      <c r="AO12" s="134">
        <v>1743.6722669999999</v>
      </c>
      <c r="AP12" s="134">
        <v>794.00548500000002</v>
      </c>
      <c r="AQ12" s="134"/>
      <c r="AR12" s="134">
        <v>11901</v>
      </c>
      <c r="AS12" s="134">
        <v>7261</v>
      </c>
      <c r="AT12" s="134"/>
      <c r="AU12" s="134">
        <v>2221</v>
      </c>
      <c r="AV12" s="134">
        <v>317</v>
      </c>
      <c r="AW12" s="134"/>
      <c r="AX12" s="134"/>
      <c r="AY12" s="134"/>
      <c r="AZ12" s="134"/>
      <c r="BA12" s="239"/>
      <c r="BB12" s="134">
        <v>2651</v>
      </c>
      <c r="BC12" s="134">
        <v>4560</v>
      </c>
      <c r="BD12" s="134"/>
      <c r="BE12" s="134">
        <f t="shared" si="1"/>
        <v>36.763278324781581</v>
      </c>
      <c r="BF12" s="134">
        <f t="shared" si="2"/>
        <v>63.236721675218419</v>
      </c>
      <c r="BG12" s="134"/>
      <c r="BH12" s="134">
        <v>375</v>
      </c>
      <c r="BI12" s="134"/>
      <c r="BJ12" s="134">
        <v>1505</v>
      </c>
      <c r="BL12" s="238"/>
      <c r="BM12" s="238"/>
      <c r="BN12" s="238"/>
      <c r="BQ12" s="238"/>
      <c r="BR12" s="238"/>
      <c r="BS12" s="238"/>
      <c r="BU12" s="239"/>
      <c r="BV12" s="238"/>
      <c r="BW12" s="238"/>
      <c r="BX12" s="238"/>
      <c r="BZ12" s="239"/>
      <c r="CA12" s="239"/>
      <c r="CB12" s="239"/>
    </row>
    <row r="13" spans="1:89">
      <c r="A13" s="42">
        <v>1999</v>
      </c>
      <c r="B13" s="236">
        <f>'Tabell 1.1 (1)'!Z36</f>
        <v>1575</v>
      </c>
      <c r="C13" s="236">
        <f>'Tabell 1.1 (1)'!T36-'Tabell 1.1 (1)'!Z36</f>
        <v>9469</v>
      </c>
      <c r="D13" s="236">
        <f t="shared" si="0"/>
        <v>11044</v>
      </c>
      <c r="F13" s="234">
        <v>8.8614259999999998</v>
      </c>
      <c r="G13" s="134"/>
      <c r="H13" s="134"/>
      <c r="J13" s="134">
        <v>2932</v>
      </c>
      <c r="K13" s="134">
        <v>10371</v>
      </c>
      <c r="M13" s="134">
        <v>567</v>
      </c>
      <c r="N13" s="134">
        <v>573</v>
      </c>
      <c r="O13" s="134"/>
      <c r="P13" s="134">
        <v>973</v>
      </c>
      <c r="Q13" s="134">
        <v>877</v>
      </c>
      <c r="R13" s="134"/>
      <c r="S13" s="134"/>
      <c r="T13" s="134"/>
      <c r="U13" s="134">
        <v>71.856899999999996</v>
      </c>
      <c r="V13" s="134">
        <v>37.57949</v>
      </c>
      <c r="W13" s="134"/>
      <c r="X13" s="134">
        <v>18641.66</v>
      </c>
      <c r="Y13" s="134"/>
      <c r="Z13" s="134"/>
      <c r="AA13" s="134"/>
      <c r="AB13" s="134"/>
      <c r="AC13" s="134">
        <v>4209</v>
      </c>
      <c r="AD13" s="134">
        <v>9564</v>
      </c>
      <c r="AE13" s="134"/>
      <c r="AF13" s="134">
        <v>52380</v>
      </c>
      <c r="AG13" s="134">
        <v>19090</v>
      </c>
      <c r="AH13" s="134"/>
      <c r="AI13" s="134"/>
      <c r="AJ13" s="134"/>
      <c r="AK13" s="134"/>
      <c r="AL13" s="134">
        <v>3530</v>
      </c>
      <c r="AM13" s="134">
        <v>12376</v>
      </c>
      <c r="AN13" s="134">
        <v>2597</v>
      </c>
      <c r="AO13" s="134">
        <v>1884.2817620000003</v>
      </c>
      <c r="AP13" s="134">
        <v>712.30456000000004</v>
      </c>
      <c r="AQ13" s="134"/>
      <c r="AR13" s="134">
        <v>12036</v>
      </c>
      <c r="AS13" s="134">
        <v>7054</v>
      </c>
      <c r="AT13" s="134"/>
      <c r="AU13" s="134">
        <v>2296</v>
      </c>
      <c r="AV13" s="134">
        <v>301</v>
      </c>
      <c r="AW13" s="134"/>
      <c r="AX13" s="134"/>
      <c r="AY13" s="134"/>
      <c r="AZ13" s="134"/>
      <c r="BA13" s="239"/>
      <c r="BB13" s="134">
        <v>2812</v>
      </c>
      <c r="BC13" s="134">
        <v>4889</v>
      </c>
      <c r="BD13" s="134"/>
      <c r="BE13" s="134">
        <f>BB13/(BB13+BC13)*100</f>
        <v>36.514738345669393</v>
      </c>
      <c r="BF13" s="134">
        <f t="shared" si="2"/>
        <v>63.485261654330607</v>
      </c>
      <c r="BG13" s="134"/>
      <c r="BH13" s="134">
        <v>381</v>
      </c>
      <c r="BI13" s="134"/>
      <c r="BJ13" s="134">
        <v>1526</v>
      </c>
      <c r="BL13" s="238"/>
      <c r="BM13" s="238"/>
      <c r="BN13" s="238"/>
      <c r="BQ13" s="238"/>
      <c r="BR13" s="238"/>
      <c r="BS13" s="238"/>
      <c r="BU13" s="239"/>
      <c r="BV13" s="238"/>
      <c r="BW13" s="238"/>
      <c r="BX13" s="238"/>
      <c r="BZ13" s="239"/>
      <c r="CA13" s="239"/>
      <c r="CB13" s="239"/>
    </row>
    <row r="14" spans="1:89">
      <c r="A14" s="42">
        <v>2000</v>
      </c>
      <c r="B14" s="236">
        <f>'Tabell 1.1 (1)'!Z37</f>
        <v>1709</v>
      </c>
      <c r="C14" s="236">
        <f>'Tabell 1.1 (1)'!T37-'Tabell 1.1 (1)'!Z37</f>
        <v>9328</v>
      </c>
      <c r="D14" s="236">
        <f t="shared" si="0"/>
        <v>11037</v>
      </c>
      <c r="F14" s="234">
        <v>8.8827920000000002</v>
      </c>
      <c r="G14" s="236">
        <f>'Tabell 2.1–2.2'!E17/F14</f>
        <v>1704.0362984971391</v>
      </c>
      <c r="H14" s="236" t="str">
        <f>'Tabell 2.1–2.2'!E18</f>
        <v>..</v>
      </c>
      <c r="I14" s="239"/>
      <c r="J14" s="236">
        <f>'Tabell 2.1–2.2'!E48</f>
        <v>2934</v>
      </c>
      <c r="K14" s="236">
        <f>'Tabell 2.1–2.2'!E49</f>
        <v>10159</v>
      </c>
      <c r="L14" s="239"/>
      <c r="M14" s="236">
        <f>'Tabell 3.1–3.3'!E12</f>
        <v>551</v>
      </c>
      <c r="N14" s="236">
        <f>'Tabell 3.1–3.3'!E11</f>
        <v>569</v>
      </c>
      <c r="O14" s="236"/>
      <c r="P14" s="236">
        <f>'Tabell 3.5–3.7'!E21</f>
        <v>1010</v>
      </c>
      <c r="Q14" s="236">
        <f>'Tabell 3.5–3.7'!E18</f>
        <v>779</v>
      </c>
      <c r="R14" s="236"/>
      <c r="S14" s="236">
        <f>'Tabell 3.5–3.7'!E56</f>
        <v>449</v>
      </c>
      <c r="T14" s="236"/>
      <c r="U14" s="236">
        <f>'Tabell 4.1–4.3'!E11/1000</f>
        <v>77.275000000000006</v>
      </c>
      <c r="V14" s="236">
        <f>'Tabell 4.1–4.3'!E17/1000</f>
        <v>38.928695999999995</v>
      </c>
      <c r="W14" s="236"/>
      <c r="X14" s="236">
        <f>'Tabell 4.1–4.3'!E52</f>
        <v>20540.894099999998</v>
      </c>
      <c r="Y14" s="236"/>
      <c r="Z14" s="236">
        <f>'Tabell 4.1–4.3'!E65</f>
        <v>811.20044356435642</v>
      </c>
      <c r="AA14" s="236">
        <f>'Tabell 4.1–4.3'!E66</f>
        <v>1451.4505782178219</v>
      </c>
      <c r="AB14" s="236"/>
      <c r="AC14" s="236">
        <f>'Tabell 4.1–4.3'!E82</f>
        <v>4168</v>
      </c>
      <c r="AD14" s="236">
        <f>'Tabell 4.1–4.3'!E83</f>
        <v>9467</v>
      </c>
      <c r="AE14" s="236"/>
      <c r="AF14" s="236">
        <f>'Tabell 4.7'!E30</f>
        <v>57253.137999999999</v>
      </c>
      <c r="AG14" s="236">
        <f>'Tabell 4.7'!E61</f>
        <v>20083.036625000001</v>
      </c>
      <c r="AH14" s="236"/>
      <c r="AI14" s="236">
        <f>'Tabell 4.10'!E34</f>
        <v>2101.585</v>
      </c>
      <c r="AJ14" s="236">
        <f>'Tabell 4.10'!E68</f>
        <v>1036.94146</v>
      </c>
      <c r="AK14" s="236"/>
      <c r="AL14" s="236">
        <f>'Tabell 4.7'!E58</f>
        <v>3756</v>
      </c>
      <c r="AM14" s="236">
        <f>'Tabell 4.7'!E56</f>
        <v>13645.513000000001</v>
      </c>
      <c r="AN14" s="236">
        <f>'Tabell 4.7'!E59</f>
        <v>2681.5236250000003</v>
      </c>
      <c r="AO14" s="236">
        <f>'Tabell 4.9'!E16</f>
        <v>1992.3546809999998</v>
      </c>
      <c r="AP14" s="236">
        <f>AN14-AO14</f>
        <v>689.16894400000047</v>
      </c>
      <c r="AQ14" s="236"/>
      <c r="AR14" s="236">
        <f>'Tabell 4.7'!E45</f>
        <v>12414.590312</v>
      </c>
      <c r="AS14" s="236">
        <f>AG14-AR14</f>
        <v>7668.4463130000004</v>
      </c>
      <c r="AT14" s="236"/>
      <c r="AU14" s="236">
        <f>'Tabell 4.7'!E44</f>
        <v>2377.0003120000001</v>
      </c>
      <c r="AV14" s="236">
        <f>'Tabell 4.7'!E51</f>
        <v>304.52331299999997</v>
      </c>
      <c r="AW14" s="236"/>
      <c r="AX14" s="236">
        <f>'Tabell 4.11–4.13'!E34</f>
        <v>4857.1400050000002</v>
      </c>
      <c r="AY14" s="236">
        <f>'Tabell 4.11–4.13'!E35</f>
        <v>1304.3800000000001</v>
      </c>
      <c r="AZ14" s="236">
        <f>'Tabell 4.11–4.13'!E36</f>
        <v>2081.6744950000002</v>
      </c>
      <c r="BB14" s="236">
        <f>'Tabell 4.11–4.13'!E39</f>
        <v>3009.2469999999998</v>
      </c>
      <c r="BC14" s="236">
        <f>'Tabell 4.11–4.13'!E33-BB14</f>
        <v>5233.9475000000002</v>
      </c>
      <c r="BD14" s="236"/>
      <c r="BE14" s="236">
        <f t="shared" si="1"/>
        <v>36.505835207455071</v>
      </c>
      <c r="BF14" s="236">
        <f t="shared" si="2"/>
        <v>63.494164792544929</v>
      </c>
      <c r="BG14" s="236"/>
      <c r="BH14" s="236">
        <f>'Tabell 4.11–4.13'!E64</f>
        <v>393.90000000000003</v>
      </c>
      <c r="BI14" s="236"/>
      <c r="BJ14" s="236">
        <f>'Tabell 4.11–4.13'!E85</f>
        <v>1588</v>
      </c>
      <c r="BL14" s="240"/>
      <c r="BM14" s="240"/>
      <c r="BN14" s="240"/>
      <c r="BQ14" s="240"/>
      <c r="BR14" s="240"/>
      <c r="BS14" s="240"/>
      <c r="BV14" s="240"/>
      <c r="BW14" s="240"/>
      <c r="BX14" s="240"/>
    </row>
    <row r="15" spans="1:89">
      <c r="A15" s="42">
        <v>2001</v>
      </c>
      <c r="B15" s="236">
        <f>'Tabell 1.1 (1)'!Z38</f>
        <v>1719</v>
      </c>
      <c r="C15" s="236">
        <f>'Tabell 1.1 (1)'!T38-'Tabell 1.1 (1)'!Z38</f>
        <v>9302</v>
      </c>
      <c r="D15" s="236">
        <f t="shared" si="0"/>
        <v>11021</v>
      </c>
      <c r="F15" s="234">
        <v>8.9091280000000008</v>
      </c>
      <c r="G15" s="236">
        <f>'Tabell 2.1–2.2'!G17/F15</f>
        <v>1714.4887804956893</v>
      </c>
      <c r="H15" s="236" t="str">
        <f>'Tabell 2.1–2.2'!G18</f>
        <v>..</v>
      </c>
      <c r="I15" s="239"/>
      <c r="J15" s="236">
        <f>'Tabell 2.1–2.2'!G48</f>
        <v>2939</v>
      </c>
      <c r="K15" s="236">
        <f>'Tabell 2.1–2.2'!G49</f>
        <v>9957</v>
      </c>
      <c r="M15" s="236">
        <f>'Tabell 3.1–3.3'!G12</f>
        <v>535</v>
      </c>
      <c r="N15" s="236">
        <f>'Tabell 3.1–3.3'!G11</f>
        <v>656</v>
      </c>
      <c r="O15" s="236"/>
      <c r="P15" s="236">
        <f>'Tabell 3.5–3.7'!G21</f>
        <v>1088</v>
      </c>
      <c r="Q15" s="236">
        <f>'Tabell 3.5–3.7'!G18</f>
        <v>800</v>
      </c>
      <c r="R15" s="236"/>
      <c r="S15" s="236">
        <f>'Tabell 3.5–3.7'!G56</f>
        <v>450</v>
      </c>
      <c r="T15" s="236"/>
      <c r="U15" s="236">
        <f>'Tabell 4.1–4.3'!G11/1000</f>
        <v>83.481999999999999</v>
      </c>
      <c r="V15" s="236">
        <f>'Tabell 4.1–4.3'!G17/1000</f>
        <v>39.198</v>
      </c>
      <c r="W15" s="236"/>
      <c r="X15" s="236">
        <f>'Tabell 4.1–4.3'!G52</f>
        <v>21759.9941</v>
      </c>
      <c r="Y15" s="236"/>
      <c r="Z15" s="236">
        <f>'Tabell 4.1–4.3'!G65</f>
        <v>847.81600000000003</v>
      </c>
      <c r="AA15" s="236">
        <f>'Tabell 4.1–4.3'!G66</f>
        <v>1470.9590000000001</v>
      </c>
      <c r="AB15" s="236"/>
      <c r="AC15" s="236">
        <f>'Tabell 4.1–4.3'!G82</f>
        <v>4236</v>
      </c>
      <c r="AD15" s="236">
        <f>'Tabell 4.1–4.3'!G83</f>
        <v>9660</v>
      </c>
      <c r="AE15" s="236"/>
      <c r="AF15" s="236">
        <f>'Tabell 4.7'!G30</f>
        <v>55205.343999999997</v>
      </c>
      <c r="AG15" s="236">
        <f>'Tabell 4.7'!G61</f>
        <v>19547.320933999999</v>
      </c>
      <c r="AH15" s="236"/>
      <c r="AI15" s="236">
        <f>'Tabell 4.10'!G34</f>
        <v>2038.0550000000001</v>
      </c>
      <c r="AJ15" s="236">
        <f>'Tabell 4.10'!G68</f>
        <v>993.81582899999978</v>
      </c>
      <c r="AK15" s="236"/>
      <c r="AL15" s="236">
        <f>'Tabell 4.7'!G58</f>
        <v>3647.0990000000002</v>
      </c>
      <c r="AM15" s="236">
        <f>'Tabell 4.7'!G56</f>
        <v>13442.035764</v>
      </c>
      <c r="AN15" s="236">
        <f>'Tabell 4.7'!G59</f>
        <v>2458.1861699999999</v>
      </c>
      <c r="AO15" s="236">
        <f>'Tabell 4.9'!G16</f>
        <v>1794.0111699999998</v>
      </c>
      <c r="AP15" s="236">
        <f>AN15-AO15</f>
        <v>664.17500000000018</v>
      </c>
      <c r="AQ15" s="236"/>
      <c r="AR15" s="236">
        <f>'Tabell 4.7'!G45</f>
        <v>12500.712707000001</v>
      </c>
      <c r="AS15" s="236">
        <f t="shared" ref="AS15:AS34" si="3">AG15-AR15</f>
        <v>7046.6082269999988</v>
      </c>
      <c r="AT15" s="236"/>
      <c r="AU15" s="236">
        <f>'Tabell 4.7'!G44</f>
        <v>2160.3369429999998</v>
      </c>
      <c r="AV15" s="236">
        <f>'Tabell 4.7'!G51</f>
        <v>297.84922700000004</v>
      </c>
      <c r="AW15" s="236"/>
      <c r="AX15" s="236">
        <f>'Tabell 4.11–4.13'!G34</f>
        <v>4980.3885865000002</v>
      </c>
      <c r="AY15" s="236">
        <f>'Tabell 4.11–4.13'!G35</f>
        <v>1452.6</v>
      </c>
      <c r="AZ15" s="236">
        <f>'Tabell 4.11–4.13'!G36</f>
        <v>2298.7709134999996</v>
      </c>
      <c r="BB15" s="236">
        <f>'Tabell 4.11–4.13'!G39</f>
        <v>3191.2594999999997</v>
      </c>
      <c r="BC15" s="236">
        <f>'Tabell 4.11–4.13'!G33-BB15</f>
        <v>5540.5</v>
      </c>
      <c r="BD15" s="236"/>
      <c r="BE15" s="236">
        <f t="shared" si="1"/>
        <v>36.54772557581321</v>
      </c>
      <c r="BF15" s="236">
        <f t="shared" si="2"/>
        <v>63.45227442418679</v>
      </c>
      <c r="BG15" s="236"/>
      <c r="BH15" s="236">
        <f>'Tabell 4.11–4.13'!G64</f>
        <v>410.29999999999995</v>
      </c>
      <c r="BI15" s="236"/>
      <c r="BJ15" s="236">
        <f>'Tabell 4.11–4.13'!G85</f>
        <v>1581</v>
      </c>
      <c r="BL15" s="240"/>
      <c r="BM15" s="240"/>
      <c r="BN15" s="240"/>
      <c r="BQ15" s="240"/>
      <c r="BR15" s="240"/>
      <c r="BS15" s="240"/>
      <c r="BV15" s="240"/>
      <c r="BW15" s="240"/>
      <c r="BX15" s="240"/>
    </row>
    <row r="16" spans="1:89">
      <c r="A16" s="42">
        <v>2002</v>
      </c>
      <c r="B16" s="236">
        <f>'Tabell 1.1 (1)'!Z39</f>
        <v>1740</v>
      </c>
      <c r="C16" s="236">
        <f>'Tabell 1.1 (1)'!T39-'Tabell 1.1 (1)'!Z39</f>
        <v>9355</v>
      </c>
      <c r="D16" s="236">
        <f t="shared" si="0"/>
        <v>11095</v>
      </c>
      <c r="F16" s="234">
        <v>8.9407879999999995</v>
      </c>
      <c r="G16" s="236">
        <f>'Tabell 2.1–2.2'!I17/F16</f>
        <v>1730.4403146568291</v>
      </c>
      <c r="H16" s="236">
        <f>'Tabell 2.1–2.2'!I18/F16</f>
        <v>1198.2724565217295</v>
      </c>
      <c r="I16" s="239"/>
      <c r="J16" s="236">
        <f>'Tabell 2.1–2.2'!I48</f>
        <v>2977</v>
      </c>
      <c r="K16" s="236">
        <f>'Tabell 2.1–2.2'!I49</f>
        <v>9820</v>
      </c>
      <c r="M16" s="236">
        <f>'Tabell 3.1–3.3'!I12</f>
        <v>531</v>
      </c>
      <c r="N16" s="236">
        <f>'Tabell 3.1–3.3'!I11</f>
        <v>716</v>
      </c>
      <c r="O16" s="236"/>
      <c r="P16" s="236">
        <f>'Tabell 3.5–3.7'!I21</f>
        <v>1171</v>
      </c>
      <c r="Q16" s="236">
        <f>'Tabell 3.5–3.7'!I18</f>
        <v>764</v>
      </c>
      <c r="R16" s="236"/>
      <c r="S16" s="236">
        <f>'Tabell 3.5–3.7'!I56</f>
        <v>460</v>
      </c>
      <c r="T16" s="236"/>
      <c r="U16" s="236">
        <f>'Tabell 4.1–4.3'!I11/1000</f>
        <v>85.881</v>
      </c>
      <c r="V16" s="236">
        <f>'Tabell 4.1–4.3'!I17/1000</f>
        <v>38.858919999999998</v>
      </c>
      <c r="W16" s="236"/>
      <c r="X16" s="236">
        <f>'Tabell 4.1–4.3'!I52</f>
        <v>22779.200000000001</v>
      </c>
      <c r="Y16" s="236"/>
      <c r="Z16" s="236">
        <f>'Tabell 4.1–4.3'!I65</f>
        <v>1025.3800000000001</v>
      </c>
      <c r="AA16" s="236">
        <f>'Tabell 4.1–4.3'!I66</f>
        <v>1705.6669999999999</v>
      </c>
      <c r="AB16" s="236"/>
      <c r="AC16" s="236">
        <f>'Tabell 4.1–4.3'!I82</f>
        <v>4270</v>
      </c>
      <c r="AD16" s="236">
        <f>'Tabell 4.1–4.3'!I83</f>
        <v>9535</v>
      </c>
      <c r="AE16" s="236"/>
      <c r="AF16" s="236">
        <f>'Tabell 4.7'!I30</f>
        <v>54779.626189999995</v>
      </c>
      <c r="AG16" s="236">
        <f>'Tabell 4.7'!I61</f>
        <v>19196.639254000002</v>
      </c>
      <c r="AH16" s="236"/>
      <c r="AI16" s="236">
        <f>'Tabell 4.10'!I34</f>
        <v>2005.6679999999999</v>
      </c>
      <c r="AJ16" s="236">
        <f>'Tabell 4.10'!I68</f>
        <v>956.0035959999999</v>
      </c>
      <c r="AK16" s="236"/>
      <c r="AL16" s="236">
        <f>'Tabell 4.7'!I58</f>
        <v>3736.9930000000004</v>
      </c>
      <c r="AM16" s="236">
        <f>'Tabell 4.7'!I56</f>
        <v>12678.650170000001</v>
      </c>
      <c r="AN16" s="236">
        <f>'Tabell 4.7'!I59</f>
        <v>2780.9960840000003</v>
      </c>
      <c r="AO16" s="236">
        <f>'Tabell 4.9'!I16</f>
        <v>2044.094272</v>
      </c>
      <c r="AP16" s="236">
        <f t="shared" ref="AP16:AP30" si="4">AN16-AO16</f>
        <v>736.90181200000029</v>
      </c>
      <c r="AQ16" s="236"/>
      <c r="AR16" s="236">
        <f>'Tabell 4.7'!I45</f>
        <v>12403.615299000001</v>
      </c>
      <c r="AS16" s="236">
        <f t="shared" si="3"/>
        <v>6793.0239550000006</v>
      </c>
      <c r="AT16" s="236"/>
      <c r="AU16" s="236">
        <f>'Tabell 4.7'!I44</f>
        <v>2367.5386750000002</v>
      </c>
      <c r="AV16" s="236">
        <f>'Tabell 4.7'!I51</f>
        <v>413.45740900000004</v>
      </c>
      <c r="AW16" s="236"/>
      <c r="AX16" s="236">
        <f>'Tabell 4.11–4.13'!I34</f>
        <v>5018.2475000000004</v>
      </c>
      <c r="AY16" s="236">
        <f>'Tabell 4.11–4.13'!I35</f>
        <v>1418.3999999999999</v>
      </c>
      <c r="AZ16" s="236">
        <f>'Tabell 4.11–4.13'!I36</f>
        <v>2437.5525000000007</v>
      </c>
      <c r="BB16" s="236">
        <f>'Tabell 4.11–4.13'!I39</f>
        <v>3323.6</v>
      </c>
      <c r="BC16" s="236">
        <f>'Tabell 4.11–4.13'!I33-BB16</f>
        <v>5550.6</v>
      </c>
      <c r="BD16" s="236"/>
      <c r="BE16" s="236">
        <f t="shared" si="1"/>
        <v>37.45239007459827</v>
      </c>
      <c r="BF16" s="236">
        <f t="shared" si="2"/>
        <v>62.54760992540173</v>
      </c>
      <c r="BG16" s="236"/>
      <c r="BH16" s="236">
        <f>'Tabell 4.11–4.13'!I64</f>
        <v>414.6263568774977</v>
      </c>
      <c r="BI16" s="236"/>
      <c r="BJ16" s="236">
        <f>'Tabell 4.11–4.13'!I85</f>
        <v>1578</v>
      </c>
      <c r="BL16" s="240"/>
      <c r="BM16" s="240"/>
      <c r="BN16" s="240"/>
      <c r="BQ16" s="240"/>
      <c r="BR16" s="240"/>
      <c r="BS16" s="240"/>
      <c r="BV16" s="240"/>
      <c r="BW16" s="240"/>
      <c r="BX16" s="240"/>
    </row>
    <row r="17" spans="1:77">
      <c r="A17" s="42">
        <v>2003</v>
      </c>
      <c r="B17" s="236">
        <f>'Tabell 1.1 (1)'!Z40</f>
        <v>1768</v>
      </c>
      <c r="C17" s="236">
        <f>'Tabell 1.1 (1)'!T40-'Tabell 1.1 (1)'!Z40</f>
        <v>9269</v>
      </c>
      <c r="D17" s="236">
        <f t="shared" si="0"/>
        <v>11037</v>
      </c>
      <c r="F17" s="234">
        <v>8.9756699999999991</v>
      </c>
      <c r="G17" s="236">
        <f>'Tabell 2.1–2.2'!K17/F17</f>
        <v>1711.7942170333804</v>
      </c>
      <c r="H17" s="236">
        <f>'Tabell 2.1–2.2'!K18/F17</f>
        <v>1188.9363133894185</v>
      </c>
      <c r="I17" s="239"/>
      <c r="J17" s="236">
        <f>'Tabell 2.1–2.2'!K48</f>
        <v>2988</v>
      </c>
      <c r="K17" s="236">
        <f>'Tabell 2.1–2.2'!K49</f>
        <v>9740</v>
      </c>
      <c r="M17" s="236">
        <f>'Tabell 3.1–3.3'!K12</f>
        <v>530</v>
      </c>
      <c r="N17" s="236">
        <f>'Tabell 3.1–3.3'!K11</f>
        <v>757</v>
      </c>
      <c r="O17" s="236"/>
      <c r="P17" s="236">
        <f>'Tabell 3.5–3.7'!K21</f>
        <v>1192</v>
      </c>
      <c r="Q17" s="236">
        <f>'Tabell 3.5–3.7'!K18</f>
        <v>685</v>
      </c>
      <c r="R17" s="236"/>
      <c r="S17" s="236">
        <f>'Tabell 3.5–3.7'!K56</f>
        <v>480</v>
      </c>
      <c r="T17" s="236"/>
      <c r="U17" s="236">
        <f>'Tabell 4.1–4.3'!K11/1000</f>
        <v>87.880689176470568</v>
      </c>
      <c r="V17" s="236">
        <f>'Tabell 4.1–4.3'!K17/1000</f>
        <v>39.428888666666666</v>
      </c>
      <c r="W17" s="236"/>
      <c r="X17" s="236">
        <f>'Tabell 4.1–4.3'!K52</f>
        <v>23224.554901960786</v>
      </c>
      <c r="Y17" s="236"/>
      <c r="Z17" s="236">
        <f>'Tabell 4.1–4.3'!K65</f>
        <v>1034.192</v>
      </c>
      <c r="AA17" s="236">
        <f>'Tabell 4.1–4.3'!K66</f>
        <v>1668.3969999999999</v>
      </c>
      <c r="AB17" s="236"/>
      <c r="AC17" s="236">
        <f>'Tabell 4.1–4.3'!K82</f>
        <v>4253</v>
      </c>
      <c r="AD17" s="236">
        <f>'Tabell 4.1–4.3'!K83</f>
        <v>8841</v>
      </c>
      <c r="AE17" s="236"/>
      <c r="AF17" s="236">
        <f>'Tabell 4.7'!K30</f>
        <v>57874.039436666666</v>
      </c>
      <c r="AG17" s="236">
        <f>'Tabell 4.7'!K61</f>
        <v>20169.596828666665</v>
      </c>
      <c r="AH17" s="236"/>
      <c r="AI17" s="236">
        <f>'Tabell 4.10'!K34</f>
        <v>2238.9530099999997</v>
      </c>
      <c r="AJ17" s="236">
        <f>'Tabell 4.10'!K68</f>
        <v>1007.434727</v>
      </c>
      <c r="AK17" s="236"/>
      <c r="AL17" s="236">
        <f>'Tabell 4.7'!K58</f>
        <v>4085.75</v>
      </c>
      <c r="AM17" s="236">
        <f>'Tabell 4.7'!K56</f>
        <v>13109.652412999998</v>
      </c>
      <c r="AN17" s="236">
        <f>'Tabell 4.7'!K59</f>
        <v>2974.1944156666668</v>
      </c>
      <c r="AO17" s="236">
        <f>'Tabell 4.9'!K16</f>
        <v>2110.0979296666665</v>
      </c>
      <c r="AP17" s="236">
        <f t="shared" si="4"/>
        <v>864.09648600000037</v>
      </c>
      <c r="AQ17" s="236"/>
      <c r="AR17" s="236">
        <f>'Tabell 4.7'!K45</f>
        <v>12856.052976666666</v>
      </c>
      <c r="AS17" s="236">
        <f t="shared" si="3"/>
        <v>7313.5438519999989</v>
      </c>
      <c r="AT17" s="236"/>
      <c r="AU17" s="236">
        <f>'Tabell 4.7'!K44</f>
        <v>2496.7207666666668</v>
      </c>
      <c r="AV17" s="236">
        <f>'Tabell 4.7'!K51</f>
        <v>477.47364899999997</v>
      </c>
      <c r="AW17" s="236"/>
      <c r="AX17" s="236">
        <f>'Tabell 4.11–4.13'!K34</f>
        <v>4905.0122300000003</v>
      </c>
      <c r="AY17" s="236">
        <f>'Tabell 4.11–4.13'!K35</f>
        <v>1410.0819653326535</v>
      </c>
      <c r="AZ17" s="236">
        <f>'Tabell 4.11–4.13'!K36</f>
        <v>2518.5017700000008</v>
      </c>
      <c r="BB17" s="236">
        <f>'Tabell 4.11–4.13'!K39</f>
        <v>3397.9959653326532</v>
      </c>
      <c r="BC17" s="236">
        <f>'Tabell 4.11–4.13'!K33-BB17</f>
        <v>5435.6</v>
      </c>
      <c r="BD17" s="236"/>
      <c r="BE17" s="236">
        <f t="shared" si="1"/>
        <v>38.466735162758745</v>
      </c>
      <c r="BF17" s="236">
        <f t="shared" si="2"/>
        <v>61.533264837241255</v>
      </c>
      <c r="BG17" s="236"/>
      <c r="BH17" s="236">
        <f>'Tabell 4.11–4.13'!K64</f>
        <v>435.76199999999994</v>
      </c>
      <c r="BI17" s="236"/>
      <c r="BJ17" s="236">
        <f>'Tabell 4.11–4.13'!K85</f>
        <v>1558</v>
      </c>
      <c r="BL17" s="134">
        <v>1985</v>
      </c>
      <c r="BM17" s="134">
        <v>10047</v>
      </c>
      <c r="BN17" s="250">
        <f>AG17</f>
        <v>20169.596828666665</v>
      </c>
      <c r="BO17" s="134">
        <v>2627</v>
      </c>
      <c r="BP17" s="134"/>
      <c r="BQ17" s="134"/>
      <c r="BR17" s="134"/>
      <c r="BS17" s="134"/>
      <c r="BT17" s="134"/>
      <c r="BU17" s="134"/>
      <c r="BV17" s="134"/>
      <c r="BW17" s="134"/>
      <c r="BX17" s="134"/>
      <c r="BY17" s="134"/>
    </row>
    <row r="18" spans="1:77">
      <c r="A18" s="42">
        <v>2004</v>
      </c>
      <c r="B18" s="236">
        <f>'Tabell 1.1 (1)'!Z41</f>
        <v>1793</v>
      </c>
      <c r="C18" s="236">
        <f>'Tabell 1.1 (1)'!T41-'Tabell 1.1 (1)'!Z41</f>
        <v>9257</v>
      </c>
      <c r="D18" s="236">
        <f t="shared" si="0"/>
        <v>11050</v>
      </c>
      <c r="F18" s="234">
        <v>9.0113920000000007</v>
      </c>
      <c r="G18" s="236">
        <f>'Tabell 2.1–2.2'!M17/F18</f>
        <v>1706.8062292706832</v>
      </c>
      <c r="H18" s="236">
        <f>'Tabell 2.1–2.2'!M18/F18</f>
        <v>1198.0058130863688</v>
      </c>
      <c r="I18" s="239"/>
      <c r="J18" s="236">
        <f>'Tabell 2.1–2.2'!M48</f>
        <v>3007</v>
      </c>
      <c r="K18" s="236">
        <f>'Tabell 2.1–2.2'!M49</f>
        <v>9722</v>
      </c>
      <c r="M18" s="236">
        <f>'Tabell 3.1–3.3'!M12</f>
        <v>545</v>
      </c>
      <c r="N18" s="236">
        <f>'Tabell 3.1–3.3'!M11</f>
        <v>753</v>
      </c>
      <c r="O18" s="236"/>
      <c r="P18" s="236">
        <f>'Tabell 3.5–3.7'!M21</f>
        <v>1204</v>
      </c>
      <c r="Q18" s="236">
        <f>'Tabell 3.5–3.7'!M18</f>
        <v>580</v>
      </c>
      <c r="R18" s="236"/>
      <c r="S18" s="236">
        <f>'Tabell 3.5–3.7'!M56</f>
        <v>480</v>
      </c>
      <c r="T18" s="236"/>
      <c r="U18" s="236">
        <f>'Tabell 4.1–4.3'!M11/1000</f>
        <v>85.806103999999991</v>
      </c>
      <c r="V18" s="236">
        <f>'Tabell 4.1–4.3'!M17/1000</f>
        <v>41.895603666666666</v>
      </c>
      <c r="W18" s="236"/>
      <c r="X18" s="236">
        <f>'Tabell 4.1–4.3'!M52</f>
        <v>22998.749048000005</v>
      </c>
      <c r="Y18" s="236"/>
      <c r="Z18" s="236">
        <f>'Tabell 4.1–4.3'!M65</f>
        <v>1040.0540000000001</v>
      </c>
      <c r="AA18" s="236">
        <f>'Tabell 4.1–4.3'!M66</f>
        <v>1654.2280000000001</v>
      </c>
      <c r="AB18" s="236"/>
      <c r="AC18" s="236">
        <f>'Tabell 4.1–4.3'!M82</f>
        <v>4305</v>
      </c>
      <c r="AD18" s="236">
        <f>'Tabell 4.1–4.3'!M83</f>
        <v>8894</v>
      </c>
      <c r="AE18" s="236"/>
      <c r="AF18" s="236">
        <f>'Tabell 4.7'!M30</f>
        <v>60157.406900000002</v>
      </c>
      <c r="AG18" s="236">
        <f>'Tabell 4.7'!M61</f>
        <v>20856.236783</v>
      </c>
      <c r="AH18" s="236"/>
      <c r="AI18" s="236">
        <f>'Tabell 4.10'!M34</f>
        <v>2434.5704799999999</v>
      </c>
      <c r="AJ18" s="236">
        <f>'Tabell 4.10'!M68</f>
        <v>1052.7377629999999</v>
      </c>
      <c r="AK18" s="236"/>
      <c r="AL18" s="236">
        <f>'Tabell 4.7'!M58</f>
        <v>4310.7849999999999</v>
      </c>
      <c r="AM18" s="236">
        <f>'Tabell 4.7'!M56</f>
        <v>13225.975885999998</v>
      </c>
      <c r="AN18" s="236">
        <f>'Tabell 4.7'!M59</f>
        <v>3319.4758969999998</v>
      </c>
      <c r="AO18" s="236">
        <f>'Tabell 4.9'!M16</f>
        <v>2319.4921646064158</v>
      </c>
      <c r="AP18" s="236">
        <f t="shared" si="4"/>
        <v>999.98373239358398</v>
      </c>
      <c r="AQ18" s="236"/>
      <c r="AR18" s="236">
        <f>'Tabell 4.7'!M45</f>
        <v>13189.780088</v>
      </c>
      <c r="AS18" s="236">
        <f t="shared" si="3"/>
        <v>7666.4566950000008</v>
      </c>
      <c r="AT18" s="236"/>
      <c r="AU18" s="236">
        <f>'Tabell 4.7'!M44</f>
        <v>2773.9110589999996</v>
      </c>
      <c r="AV18" s="236">
        <f>'Tabell 4.7'!M51</f>
        <v>545.56483800000012</v>
      </c>
      <c r="AW18" s="236"/>
      <c r="AX18" s="236">
        <f>'Tabell 4.11–4.13'!M34</f>
        <v>4773.0990000000002</v>
      </c>
      <c r="AY18" s="236">
        <f>'Tabell 4.11–4.13'!M35</f>
        <v>1298.0251726784345</v>
      </c>
      <c r="AZ18" s="236">
        <f>'Tabell 4.11–4.13'!M36</f>
        <v>2586.7009999999991</v>
      </c>
      <c r="BB18" s="236">
        <f>'Tabell 4.11–4.13'!M39</f>
        <v>3445.6951726784346</v>
      </c>
      <c r="BC18" s="236">
        <f>'Tabell 4.11–4.13'!M33-BB18</f>
        <v>5212.13</v>
      </c>
      <c r="BD18" s="236"/>
      <c r="BE18" s="236">
        <f t="shared" si="1"/>
        <v>39.798622678961472</v>
      </c>
      <c r="BF18" s="236">
        <f t="shared" si="2"/>
        <v>60.201377321038528</v>
      </c>
      <c r="BG18" s="236"/>
      <c r="BH18" s="236">
        <f>'Tabell 4.11–4.13'!M64</f>
        <v>462.21199999999999</v>
      </c>
      <c r="BI18" s="236"/>
      <c r="BJ18" s="236">
        <f>'Tabell 4.11–4.13'!M85</f>
        <v>1556</v>
      </c>
      <c r="BL18" s="134">
        <v>2321</v>
      </c>
      <c r="BM18" s="134">
        <v>10105</v>
      </c>
      <c r="BN18" s="250">
        <f t="shared" ref="BN18:BN35" si="5">AG18</f>
        <v>20856.236783</v>
      </c>
      <c r="BO18" s="134">
        <v>2845</v>
      </c>
      <c r="BP18" s="134"/>
      <c r="BQ18" s="134">
        <v>168552</v>
      </c>
      <c r="BR18" s="134">
        <v>60134</v>
      </c>
      <c r="BS18" s="134">
        <v>146615</v>
      </c>
      <c r="BT18" s="134"/>
      <c r="BU18" s="134"/>
      <c r="BV18" s="134">
        <v>5921</v>
      </c>
      <c r="BW18" s="134">
        <v>3352</v>
      </c>
      <c r="BX18" s="134">
        <v>8634</v>
      </c>
      <c r="BY18" s="134"/>
    </row>
    <row r="19" spans="1:77">
      <c r="A19" s="42">
        <v>2005</v>
      </c>
      <c r="B19" s="236">
        <f>'Tabell 1.1 (1)'!Z42</f>
        <v>1785</v>
      </c>
      <c r="C19" s="236">
        <f>'Tabell 1.1 (1)'!T42-'Tabell 1.1 (1)'!Z42</f>
        <v>9232</v>
      </c>
      <c r="D19" s="236">
        <f t="shared" si="0"/>
        <v>11017</v>
      </c>
      <c r="F19" s="234">
        <v>9.0477519999999991</v>
      </c>
      <c r="G19" s="236">
        <f>'Tabell 2.1–2.2'!O17/F19</f>
        <v>1697.6261064626885</v>
      </c>
      <c r="H19" s="236">
        <f>'Tabell 2.1–2.2'!O18/F19</f>
        <v>1209.3280187166936</v>
      </c>
      <c r="I19" s="239"/>
      <c r="J19" s="236">
        <f>'Tabell 2.1–2.2'!O48</f>
        <v>3017</v>
      </c>
      <c r="K19" s="236">
        <f>'Tabell 2.1–2.2'!O49</f>
        <v>9643</v>
      </c>
      <c r="M19" s="236">
        <f>'Tabell 3.1–3.3'!O12</f>
        <v>568</v>
      </c>
      <c r="N19" s="236">
        <f>'Tabell 3.1–3.3'!O11</f>
        <v>875</v>
      </c>
      <c r="O19" s="236"/>
      <c r="P19" s="236">
        <f>'Tabell 3.5–3.7'!O21</f>
        <v>1327</v>
      </c>
      <c r="Q19" s="236">
        <f>'Tabell 3.5–3.7'!O18</f>
        <v>574</v>
      </c>
      <c r="R19" s="236"/>
      <c r="S19" s="236">
        <f>'Tabell 3.5–3.7'!O56</f>
        <v>490</v>
      </c>
      <c r="T19" s="236"/>
      <c r="U19" s="236">
        <f>'Tabell 4.1–4.3'!O11/1000</f>
        <v>83.817799999999991</v>
      </c>
      <c r="V19" s="236">
        <f>'Tabell 4.1–4.3'!O17/1000</f>
        <v>43.865128366666667</v>
      </c>
      <c r="W19" s="236"/>
      <c r="X19" s="236">
        <f>'Tabell 4.1–4.3'!O52</f>
        <v>22448.2</v>
      </c>
      <c r="Y19" s="236"/>
      <c r="Z19" s="236">
        <f>'Tabell 4.1–4.3'!O65</f>
        <v>1048.0350000000001</v>
      </c>
      <c r="AA19" s="236">
        <f>'Tabell 4.1–4.3'!O66</f>
        <v>1668.566</v>
      </c>
      <c r="AB19" s="236"/>
      <c r="AC19" s="236">
        <f>'Tabell 4.1–4.3'!O82</f>
        <v>4390.9284318453101</v>
      </c>
      <c r="AD19" s="236">
        <f>'Tabell 4.1–4.3'!O83</f>
        <v>9071.5255453733407</v>
      </c>
      <c r="AE19" s="236"/>
      <c r="AF19" s="236">
        <f>'Tabell 4.7'!O30</f>
        <v>63198.091080342543</v>
      </c>
      <c r="AG19" s="236">
        <f>'Tabell 4.7'!O61</f>
        <v>21674.886677491828</v>
      </c>
      <c r="AH19" s="236"/>
      <c r="AI19" s="236">
        <f>'Tabell 4.10'!O34</f>
        <v>2389.2421900000013</v>
      </c>
      <c r="AJ19" s="236">
        <f>'Tabell 4.10'!O68</f>
        <v>1037.4745359999999</v>
      </c>
      <c r="AK19" s="236"/>
      <c r="AL19" s="236">
        <f>'Tabell 4.7'!O58</f>
        <v>4399.8909999999996</v>
      </c>
      <c r="AM19" s="236">
        <f>'Tabell 4.7'!O56</f>
        <v>13527.084501999998</v>
      </c>
      <c r="AN19" s="236">
        <f>'Tabell 4.7'!O59</f>
        <v>3747.9111754918299</v>
      </c>
      <c r="AO19" s="236">
        <f>'Tabell 4.9'!O16</f>
        <v>2680.0943899102322</v>
      </c>
      <c r="AP19" s="236">
        <f t="shared" si="4"/>
        <v>1067.8167855815977</v>
      </c>
      <c r="AQ19" s="236"/>
      <c r="AR19" s="236">
        <f>'Tabell 4.7'!O45</f>
        <v>14124.505315</v>
      </c>
      <c r="AS19" s="236">
        <f t="shared" si="3"/>
        <v>7550.3813624918275</v>
      </c>
      <c r="AT19" s="236"/>
      <c r="AU19" s="236">
        <f>'Tabell 4.7'!O44</f>
        <v>3153.4780850000002</v>
      </c>
      <c r="AV19" s="236">
        <f>'Tabell 4.7'!O51</f>
        <v>594.43309049182983</v>
      </c>
      <c r="AW19" s="236"/>
      <c r="AX19" s="236">
        <f>'Tabell 4.11–4.13'!O34</f>
        <v>4943.9198775510213</v>
      </c>
      <c r="AY19" s="236">
        <f>'Tabell 4.11–4.13'!O35</f>
        <v>1256.2</v>
      </c>
      <c r="AZ19" s="236">
        <f>'Tabell 4.11–4.13'!O36</f>
        <v>2735.9381224489807</v>
      </c>
      <c r="BB19" s="236">
        <f>'Tabell 4.11–4.13'!O39</f>
        <v>3723.4940000000001</v>
      </c>
      <c r="BC19" s="236">
        <f>'Tabell 4.11–4.13'!O33-BB19</f>
        <v>5212.5639999999985</v>
      </c>
      <c r="BD19" s="236"/>
      <c r="BE19" s="236">
        <f t="shared" si="1"/>
        <v>41.668194185847952</v>
      </c>
      <c r="BF19" s="236">
        <f t="shared" si="2"/>
        <v>58.331805814152048</v>
      </c>
      <c r="BG19" s="236"/>
      <c r="BH19" s="236">
        <f>'Tabell 4.11–4.13'!O64</f>
        <v>473.03200000000004</v>
      </c>
      <c r="BI19" s="236"/>
      <c r="BJ19" s="236">
        <f>'Tabell 4.11–4.13'!O85</f>
        <v>1541</v>
      </c>
      <c r="BL19" s="134">
        <v>1976</v>
      </c>
      <c r="BM19" s="134">
        <v>9706</v>
      </c>
      <c r="BN19" s="250">
        <f t="shared" si="5"/>
        <v>21674.886677491828</v>
      </c>
      <c r="BO19" s="134">
        <v>3182</v>
      </c>
      <c r="BP19" s="134"/>
      <c r="BQ19" s="134">
        <v>171377</v>
      </c>
      <c r="BR19" s="134">
        <v>63493</v>
      </c>
      <c r="BS19" s="134">
        <v>150058</v>
      </c>
      <c r="BT19" s="134">
        <v>52559</v>
      </c>
      <c r="BU19" s="134"/>
      <c r="BV19" s="134">
        <v>5961</v>
      </c>
      <c r="BW19" s="134">
        <v>3478</v>
      </c>
      <c r="BX19" s="134">
        <v>8910</v>
      </c>
      <c r="BY19" s="134">
        <v>2723</v>
      </c>
    </row>
    <row r="20" spans="1:77">
      <c r="A20" s="42">
        <v>2006</v>
      </c>
      <c r="B20" s="236">
        <f>'Tabell 1.1 (1)'!Z43</f>
        <v>1804</v>
      </c>
      <c r="C20" s="236">
        <f>'Tabell 1.1 (1)'!T43-'Tabell 1.1 (1)'!Z43</f>
        <v>9216</v>
      </c>
      <c r="D20" s="236">
        <f t="shared" si="0"/>
        <v>11020</v>
      </c>
      <c r="F20" s="234">
        <v>9.1132570000000008</v>
      </c>
      <c r="G20" s="236">
        <f>'Tabell 2.1–2.2'!Q17/F20</f>
        <v>1680.8151026575899</v>
      </c>
      <c r="H20" s="236">
        <f>'Tabell 2.1–2.2'!Q18/F20</f>
        <v>1214.022604651663</v>
      </c>
      <c r="I20" s="239"/>
      <c r="J20" s="236">
        <f>'Tabell 2.1–2.2'!Q48</f>
        <v>3026</v>
      </c>
      <c r="K20" s="236">
        <f>'Tabell 2.1–2.2'!Q49</f>
        <v>9581</v>
      </c>
      <c r="M20" s="236">
        <f>'Tabell 3.1–3.3'!Q12</f>
        <v>579</v>
      </c>
      <c r="N20" s="236">
        <f>'Tabell 3.1–3.3'!Q11</f>
        <v>947</v>
      </c>
      <c r="O20" s="236"/>
      <c r="P20" s="236">
        <f>'Tabell 3.5–3.7'!Q21</f>
        <v>1398</v>
      </c>
      <c r="Q20" s="236">
        <f>'Tabell 3.5–3.7'!Q18</f>
        <v>554</v>
      </c>
      <c r="R20" s="236"/>
      <c r="S20" s="236">
        <f>'Tabell 3.5–3.7'!Q56</f>
        <v>518</v>
      </c>
      <c r="T20" s="236"/>
      <c r="U20" s="236">
        <f>'Tabell 4.1–4.3'!Q11/1000</f>
        <v>85.995510999999979</v>
      </c>
      <c r="V20" s="236">
        <f>'Tabell 4.1–4.3'!Q17/1000</f>
        <v>45.455603799999999</v>
      </c>
      <c r="W20" s="236"/>
      <c r="X20" s="236">
        <f>'Tabell 4.1–4.3'!Q52</f>
        <v>23604.420300008998</v>
      </c>
      <c r="Y20" s="236"/>
      <c r="Z20" s="236">
        <f>'Tabell 4.1–4.3'!Q65</f>
        <v>1111.8710000000001</v>
      </c>
      <c r="AA20" s="236">
        <f>'Tabell 4.1–4.3'!Q66</f>
        <v>1767.1849999999999</v>
      </c>
      <c r="AB20" s="236"/>
      <c r="AC20" s="236">
        <f>'Tabell 4.1–4.3'!Q82</f>
        <v>4579.0975092556801</v>
      </c>
      <c r="AD20" s="236">
        <f>'Tabell 4.1–4.3'!Q83</f>
        <v>9539.7864776160004</v>
      </c>
      <c r="AE20" s="236"/>
      <c r="AF20" s="236">
        <f>'Tabell 4.7'!Q30</f>
        <v>64944.474279999995</v>
      </c>
      <c r="AG20" s="236">
        <f>'Tabell 4.7'!Q61</f>
        <v>22271.432596099214</v>
      </c>
      <c r="AH20" s="236"/>
      <c r="AI20" s="236">
        <f>'Tabell 4.10'!Q34</f>
        <v>2432.5627200000008</v>
      </c>
      <c r="AJ20" s="236">
        <f>'Tabell 4.10'!Q68</f>
        <v>1042.5942500000001</v>
      </c>
      <c r="AK20" s="236"/>
      <c r="AL20" s="236">
        <f>'Tabell 4.7'!Q58</f>
        <v>4518.6578330000002</v>
      </c>
      <c r="AM20" s="236">
        <f>'Tabell 4.7'!Q56</f>
        <v>13607.998428299212</v>
      </c>
      <c r="AN20" s="236">
        <f>'Tabell 4.7'!Q59</f>
        <v>4144.7763348000008</v>
      </c>
      <c r="AO20" s="236">
        <f>'Tabell 4.9'!Q16</f>
        <v>2704.5091056537835</v>
      </c>
      <c r="AP20" s="236">
        <f t="shared" si="4"/>
        <v>1440.2672291462172</v>
      </c>
      <c r="AQ20" s="236"/>
      <c r="AR20" s="236">
        <f>'Tabell 4.7'!Q45</f>
        <v>14894.407510158946</v>
      </c>
      <c r="AS20" s="236">
        <f t="shared" si="3"/>
        <v>7377.0250859402677</v>
      </c>
      <c r="AT20" s="236"/>
      <c r="AU20" s="236">
        <f>'Tabell 4.7'!Q44</f>
        <v>3390.8223730000004</v>
      </c>
      <c r="AV20" s="236">
        <f>'Tabell 4.7'!Q51</f>
        <v>753.95396180000012</v>
      </c>
      <c r="AW20" s="236"/>
      <c r="AX20" s="236">
        <f>'Tabell 4.11–4.13'!Q34</f>
        <v>5354.5088421052633</v>
      </c>
      <c r="AY20" s="236">
        <f>'Tabell 4.11–4.13'!Q35</f>
        <v>1279.4129629629629</v>
      </c>
      <c r="AZ20" s="236">
        <f>'Tabell 4.11–4.13'!Q36</f>
        <v>2982.9199999999996</v>
      </c>
      <c r="BB20" s="236">
        <f>'Tabell 4.11–4.13'!Q39</f>
        <v>3936.4919629629626</v>
      </c>
      <c r="BC20" s="236">
        <f>'Tabell 4.11–4.13'!Q33-BB20</f>
        <v>5680.3498421052645</v>
      </c>
      <c r="BD20" s="236"/>
      <c r="BE20" s="236">
        <f t="shared" si="1"/>
        <v>40.933313064257433</v>
      </c>
      <c r="BF20" s="236">
        <f t="shared" si="2"/>
        <v>59.066686935742567</v>
      </c>
      <c r="BG20" s="236"/>
      <c r="BH20" s="236">
        <f>'Tabell 4.11–4.13'!Q64</f>
        <v>482.10500000000002</v>
      </c>
      <c r="BI20" s="236"/>
      <c r="BJ20" s="236">
        <f>'Tabell 4.11–4.13'!Q85</f>
        <v>1657</v>
      </c>
      <c r="BL20" s="134">
        <v>1892</v>
      </c>
      <c r="BM20" s="134">
        <v>11060</v>
      </c>
      <c r="BN20" s="250">
        <f t="shared" si="5"/>
        <v>22271.432596099214</v>
      </c>
      <c r="BO20" s="134">
        <v>3351</v>
      </c>
      <c r="BP20" s="134"/>
      <c r="BQ20" s="134">
        <v>174573</v>
      </c>
      <c r="BR20" s="134">
        <v>63803</v>
      </c>
      <c r="BS20" s="134">
        <v>159067</v>
      </c>
      <c r="BT20" s="134">
        <v>54695</v>
      </c>
      <c r="BU20" s="134"/>
      <c r="BV20" s="134">
        <v>6097</v>
      </c>
      <c r="BW20" s="134">
        <v>3540</v>
      </c>
      <c r="BX20" s="134">
        <v>9617</v>
      </c>
      <c r="BY20" s="134">
        <v>2833</v>
      </c>
    </row>
    <row r="21" spans="1:77">
      <c r="A21" s="42">
        <v>2007</v>
      </c>
      <c r="B21" s="236">
        <f>'Tabell 1.1 (1)'!Z44</f>
        <v>1807</v>
      </c>
      <c r="C21" s="236">
        <f>'Tabell 1.1 (1)'!T44-'Tabell 1.1 (1)'!Z44</f>
        <v>9165</v>
      </c>
      <c r="D21" s="236">
        <f t="shared" si="0"/>
        <v>10972</v>
      </c>
      <c r="F21" s="234">
        <v>9.1829269999999994</v>
      </c>
      <c r="G21" s="236">
        <f>'Tabell 2.1–2.2'!S17/F21</f>
        <v>1665.776064646926</v>
      </c>
      <c r="H21" s="236">
        <f>'Tabell 2.1–2.2'!S18/F21</f>
        <v>1225.502500455465</v>
      </c>
      <c r="I21" s="239"/>
      <c r="J21" s="236">
        <f>'Tabell 2.1–2.2'!S48</f>
        <v>3037</v>
      </c>
      <c r="K21" s="236">
        <f>'Tabell 2.1–2.2'!S49</f>
        <v>8151</v>
      </c>
      <c r="M21" s="236">
        <f>'Tabell 3.1–3.3'!S12</f>
        <v>576</v>
      </c>
      <c r="N21" s="236">
        <f>'Tabell 3.1–3.3'!S11</f>
        <v>1174</v>
      </c>
      <c r="O21" s="236"/>
      <c r="P21" s="236">
        <f>'Tabell 3.5–3.7'!S21</f>
        <v>1635</v>
      </c>
      <c r="Q21" s="236">
        <f>'Tabell 3.5–3.7'!S18</f>
        <v>542</v>
      </c>
      <c r="R21" s="236"/>
      <c r="S21" s="236">
        <f>'Tabell 3.5–3.7'!S56</f>
        <v>567</v>
      </c>
      <c r="T21" s="236"/>
      <c r="U21" s="236">
        <f>'Tabell 4.1–4.3'!S11/1000</f>
        <v>90.441636000000003</v>
      </c>
      <c r="V21" s="236">
        <f>'Tabell 4.1–4.3'!S17/1000</f>
        <v>45.462657666666665</v>
      </c>
      <c r="W21" s="236"/>
      <c r="X21" s="236">
        <f>'Tabell 4.1–4.3'!S52</f>
        <v>24956.940159999998</v>
      </c>
      <c r="Y21" s="236"/>
      <c r="Z21" s="236">
        <f>'Tabell 4.1–4.3'!S65</f>
        <v>1161.92</v>
      </c>
      <c r="AA21" s="236">
        <f>'Tabell 4.1–4.3'!S66</f>
        <v>1836.048</v>
      </c>
      <c r="AB21" s="236"/>
      <c r="AC21" s="236">
        <f>'Tabell 4.1–4.3'!S82</f>
        <v>4367</v>
      </c>
      <c r="AD21" s="236">
        <f>'Tabell 4.1–4.3'!S83</f>
        <v>9291</v>
      </c>
      <c r="AE21" s="236"/>
      <c r="AF21" s="236">
        <f>'Tabell 4.7'!S30</f>
        <v>67808.589775383924</v>
      </c>
      <c r="AG21" s="236">
        <f>'Tabell 4.7'!S61</f>
        <v>23250.308103429517</v>
      </c>
      <c r="AH21" s="236"/>
      <c r="AI21" s="236">
        <f>'Tabell 4.10'!S34</f>
        <v>2924.9429999999998</v>
      </c>
      <c r="AJ21" s="236">
        <f>'Tabell 4.10'!S68</f>
        <v>1128.8306800346015</v>
      </c>
      <c r="AK21" s="236"/>
      <c r="AL21" s="236">
        <f>'Tabell 4.7'!S58</f>
        <v>4602.1324119999999</v>
      </c>
      <c r="AM21" s="236">
        <f>'Tabell 4.7'!S56</f>
        <v>13978.417238431026</v>
      </c>
      <c r="AN21" s="236">
        <f>'Tabell 4.7'!S59</f>
        <v>4669.7584529984942</v>
      </c>
      <c r="AO21" s="236">
        <f>'Tabell 4.9'!S16</f>
        <v>3038.440235066349</v>
      </c>
      <c r="AP21" s="236">
        <f t="shared" si="4"/>
        <v>1631.3182179321452</v>
      </c>
      <c r="AQ21" s="236"/>
      <c r="AR21" s="236">
        <f>'Tabell 4.7'!S45</f>
        <v>15681.338482000001</v>
      </c>
      <c r="AS21" s="236">
        <f t="shared" si="3"/>
        <v>7568.9696214295163</v>
      </c>
      <c r="AT21" s="236"/>
      <c r="AU21" s="236">
        <f>'Tabell 4.7'!S44</f>
        <v>3618.7122810000001</v>
      </c>
      <c r="AV21" s="236">
        <f>'Tabell 4.7'!S51</f>
        <v>1051.0461719984946</v>
      </c>
      <c r="AW21" s="236"/>
      <c r="AX21" s="236">
        <f>'Tabell 4.11–4.13'!S34</f>
        <v>5659.5579999999991</v>
      </c>
      <c r="AY21" s="236">
        <f>'Tabell 4.11–4.13'!S35</f>
        <v>1375.6</v>
      </c>
      <c r="AZ21" s="236">
        <f>'Tabell 4.11–4.13'!S36</f>
        <v>3225.3830000000003</v>
      </c>
      <c r="BB21" s="236">
        <f>'Tabell 4.11–4.13'!S39</f>
        <v>4233.1000000000004</v>
      </c>
      <c r="BC21" s="236">
        <f>'Tabell 4.11–4.13'!S33-BB21</f>
        <v>6027.4410000000007</v>
      </c>
      <c r="BD21" s="236"/>
      <c r="BE21" s="236">
        <f t="shared" si="1"/>
        <v>41.256109205157891</v>
      </c>
      <c r="BF21" s="236">
        <f t="shared" si="2"/>
        <v>58.743890794842109</v>
      </c>
      <c r="BG21" s="236"/>
      <c r="BH21" s="236">
        <f>'Tabell 4.11–4.13'!S64</f>
        <v>513.94500000000005</v>
      </c>
      <c r="BI21" s="236"/>
      <c r="BJ21" s="236">
        <f>'Tabell 4.11–4.13'!S85</f>
        <v>1690</v>
      </c>
      <c r="BL21" s="134">
        <v>1779</v>
      </c>
      <c r="BM21" s="134">
        <v>10434</v>
      </c>
      <c r="BN21" s="250">
        <f t="shared" si="5"/>
        <v>23250.308103429517</v>
      </c>
      <c r="BO21" s="134">
        <v>3502</v>
      </c>
      <c r="BP21" s="134"/>
      <c r="BQ21" s="134">
        <v>174940</v>
      </c>
      <c r="BR21" s="134">
        <v>66685</v>
      </c>
      <c r="BS21" s="134">
        <v>169061</v>
      </c>
      <c r="BT21" s="134">
        <v>56808</v>
      </c>
      <c r="BU21" s="134"/>
      <c r="BV21" s="134">
        <v>6163</v>
      </c>
      <c r="BW21" s="134">
        <v>3778</v>
      </c>
      <c r="BX21" s="134">
        <v>10261</v>
      </c>
      <c r="BY21" s="134">
        <v>2958</v>
      </c>
    </row>
    <row r="22" spans="1:77">
      <c r="A22" s="42">
        <v>2008</v>
      </c>
      <c r="B22" s="236">
        <f>'Tabell 1.1 (1)'!Z45</f>
        <v>1827</v>
      </c>
      <c r="C22" s="236">
        <f>'Tabell 1.1 (1)'!T45-'Tabell 1.1 (1)'!Z45</f>
        <v>9205</v>
      </c>
      <c r="D22" s="236">
        <f t="shared" si="0"/>
        <v>11032</v>
      </c>
      <c r="F22" s="234">
        <v>9.2563469999999999</v>
      </c>
      <c r="G22" s="236">
        <f>'Tabell 2.1–2.2'!U17/F22</f>
        <v>1658.3972057227329</v>
      </c>
      <c r="H22" s="236">
        <f>'Tabell 2.1–2.2'!U18/F22</f>
        <v>1222.2640313722034</v>
      </c>
      <c r="I22" s="239"/>
      <c r="J22" s="236">
        <f>'Tabell 2.1–2.2'!U48</f>
        <v>3037</v>
      </c>
      <c r="K22" s="236">
        <f>'Tabell 2.1–2.2'!U49</f>
        <v>8056</v>
      </c>
      <c r="M22" s="236">
        <f>'Tabell 3.1–3.3'!U12</f>
        <v>593</v>
      </c>
      <c r="N22" s="236">
        <f>'Tabell 3.1–3.3'!U11</f>
        <v>1283</v>
      </c>
      <c r="O22" s="236"/>
      <c r="P22" s="236">
        <f>'Tabell 3.5–3.7'!U21</f>
        <v>1752</v>
      </c>
      <c r="Q22" s="236">
        <f>'Tabell 3.5–3.7'!U18</f>
        <v>552</v>
      </c>
      <c r="R22" s="236"/>
      <c r="S22" s="236">
        <f>'Tabell 3.5–3.7'!U56</f>
        <v>613</v>
      </c>
      <c r="T22" s="236"/>
      <c r="U22" s="236">
        <f>'Tabell 4.1–4.3'!U11/1000</f>
        <v>94.794897000000006</v>
      </c>
      <c r="V22" s="236">
        <f>'Tabell 4.1–4.3'!U17/1000</f>
        <v>47.673313870000001</v>
      </c>
      <c r="W22" s="236"/>
      <c r="X22" s="236">
        <f>'Tabell 4.1–4.3'!U52</f>
        <v>26586.804999999997</v>
      </c>
      <c r="Y22" s="236"/>
      <c r="Z22" s="236">
        <f>'Tabell 4.1–4.3'!U65</f>
        <v>1215.1790000000001</v>
      </c>
      <c r="AA22" s="236">
        <f>'Tabell 4.1–4.3'!U66</f>
        <v>1909.23</v>
      </c>
      <c r="AB22" s="236"/>
      <c r="AC22" s="236">
        <f>'Tabell 4.1–4.3'!U82</f>
        <v>4289</v>
      </c>
      <c r="AD22" s="236">
        <f>'Tabell 4.1–4.3'!U83</f>
        <v>9811</v>
      </c>
      <c r="AE22" s="236"/>
      <c r="AF22" s="236">
        <f>'Tabell 4.7'!U30</f>
        <v>65632.261508886673</v>
      </c>
      <c r="AG22" s="236">
        <f>'Tabell 4.7'!U61</f>
        <v>22923.77228420664</v>
      </c>
      <c r="AH22" s="236"/>
      <c r="AI22" s="236">
        <f>'Tabell 4.10'!U34</f>
        <v>2742.8425964666676</v>
      </c>
      <c r="AJ22" s="236">
        <f>'Tabell 4.10'!U68</f>
        <v>1023.9758354593332</v>
      </c>
      <c r="AK22" s="236"/>
      <c r="AL22" s="236">
        <f>'Tabell 4.7'!U58</f>
        <v>4363.3295609999996</v>
      </c>
      <c r="AM22" s="236">
        <f>'Tabell 4.7'!U56</f>
        <v>13471.226297473009</v>
      </c>
      <c r="AN22" s="236">
        <f>'Tabell 4.7'!U59</f>
        <v>5089.2164257336299</v>
      </c>
      <c r="AO22" s="236">
        <f>'Tabell 4.9'!U16</f>
        <v>3261.6155022295479</v>
      </c>
      <c r="AP22" s="236">
        <f t="shared" si="4"/>
        <v>1827.6009235040819</v>
      </c>
      <c r="AQ22" s="236"/>
      <c r="AR22" s="236">
        <f>'Tabell 4.7'!U45</f>
        <v>15782.458570818171</v>
      </c>
      <c r="AS22" s="236">
        <f t="shared" si="3"/>
        <v>7141.3137133884684</v>
      </c>
      <c r="AT22" s="236"/>
      <c r="AU22" s="236">
        <f>'Tabell 4.7'!U44</f>
        <v>3871.2196871181645</v>
      </c>
      <c r="AV22" s="236">
        <f>'Tabell 4.7'!U51</f>
        <v>1217.9967386154653</v>
      </c>
      <c r="AW22" s="236"/>
      <c r="AX22" s="236">
        <f>'Tabell 4.11–4.13'!U34</f>
        <v>6252.2550000000001</v>
      </c>
      <c r="AY22" s="236">
        <f>'Tabell 4.11–4.13'!U35</f>
        <v>1387.473</v>
      </c>
      <c r="AZ22" s="236">
        <f>'Tabell 4.11–4.13'!U36</f>
        <v>3506.4930000000004</v>
      </c>
      <c r="BB22" s="236">
        <f>'Tabell 4.11–4.13'!U39</f>
        <v>4664.660141450252</v>
      </c>
      <c r="BC22" s="236">
        <f>'Tabell 4.11–4.13'!U33-BB22</f>
        <v>6481.5608585497494</v>
      </c>
      <c r="BD22" s="236"/>
      <c r="BE22" s="236">
        <f t="shared" si="1"/>
        <v>41.849700821922085</v>
      </c>
      <c r="BF22" s="236">
        <f t="shared" si="2"/>
        <v>58.150299178077915</v>
      </c>
      <c r="BG22" s="236"/>
      <c r="BH22" s="236">
        <f>'Tabell 4.11–4.13'!U64</f>
        <v>524.27</v>
      </c>
      <c r="BI22" s="236"/>
      <c r="BJ22" s="236">
        <f>'Tabell 4.11–4.13'!U85</f>
        <v>1715</v>
      </c>
      <c r="BL22" s="134">
        <v>1866</v>
      </c>
      <c r="BM22" s="134">
        <v>10777</v>
      </c>
      <c r="BN22" s="250">
        <f t="shared" si="5"/>
        <v>22923.77228420664</v>
      </c>
      <c r="BO22" s="134">
        <v>3621</v>
      </c>
      <c r="BP22" s="134"/>
      <c r="BQ22" s="134">
        <v>179750</v>
      </c>
      <c r="BR22" s="134">
        <v>69937</v>
      </c>
      <c r="BS22" s="134">
        <v>178929</v>
      </c>
      <c r="BT22" s="134">
        <v>59071</v>
      </c>
      <c r="BU22" s="134"/>
      <c r="BV22" s="134">
        <v>6267</v>
      </c>
      <c r="BW22" s="134">
        <v>4052</v>
      </c>
      <c r="BX22" s="134">
        <v>11146</v>
      </c>
      <c r="BY22" s="134">
        <v>3123</v>
      </c>
    </row>
    <row r="23" spans="1:77">
      <c r="A23" s="42">
        <v>2009</v>
      </c>
      <c r="B23" s="236">
        <f>'Tabell 1.1 (1)'!Z46</f>
        <v>1842</v>
      </c>
      <c r="C23" s="236">
        <f>'Tabell 1.1 (1)'!T46-'Tabell 1.1 (1)'!Z46</f>
        <v>9307</v>
      </c>
      <c r="D23" s="236">
        <f t="shared" si="0"/>
        <v>11149</v>
      </c>
      <c r="F23" s="234">
        <v>9.3406819999999993</v>
      </c>
      <c r="G23" s="236">
        <f>'Tabell 2.1–2.2'!W17/F23</f>
        <v>1657.9838602791533</v>
      </c>
      <c r="H23" s="236">
        <f>'Tabell 2.1–2.2'!W18/F23</f>
        <v>1227.6084337310704</v>
      </c>
      <c r="I23" s="239"/>
      <c r="J23" s="236">
        <f>'Tabell 2.1–2.2'!W48</f>
        <v>3048</v>
      </c>
      <c r="K23" s="236">
        <f>'Tabell 2.1–2.2'!W49</f>
        <v>7796</v>
      </c>
      <c r="M23" s="236">
        <f>'Tabell 3.1–3.3'!W12</f>
        <v>598</v>
      </c>
      <c r="N23" s="236">
        <f>'Tabell 3.1–3.3'!W11</f>
        <v>1281</v>
      </c>
      <c r="O23" s="236"/>
      <c r="P23" s="236">
        <f>'Tabell 3.5–3.7'!W21</f>
        <v>1737</v>
      </c>
      <c r="Q23" s="236">
        <f>'Tabell 3.5–3.7'!W18</f>
        <v>554</v>
      </c>
      <c r="R23" s="236"/>
      <c r="S23" s="236">
        <f>'Tabell 3.5–3.7'!W56</f>
        <v>628</v>
      </c>
      <c r="T23" s="236"/>
      <c r="U23" s="236">
        <f>'Tabell 4.1–4.3'!W11/1000</f>
        <v>95.394100000000009</v>
      </c>
      <c r="V23" s="236">
        <f>'Tabell 4.1–4.3'!W17/1000</f>
        <v>40.418275000000001</v>
      </c>
      <c r="W23" s="236"/>
      <c r="X23" s="236">
        <f>'Tabell 4.1–4.3'!W52</f>
        <v>27331.091999999997</v>
      </c>
      <c r="Y23" s="236"/>
      <c r="Z23" s="236">
        <f>'Tabell 4.1–4.3'!W65</f>
        <v>1288.711</v>
      </c>
      <c r="AA23" s="236">
        <f>'Tabell 4.1–4.3'!W66</f>
        <v>2016.54</v>
      </c>
      <c r="AB23" s="236"/>
      <c r="AC23" s="236">
        <f>'Tabell 4.1–4.3'!W82</f>
        <v>4394.6400000000003</v>
      </c>
      <c r="AD23" s="236">
        <f>'Tabell 4.1–4.3'!W83</f>
        <v>9936.2099999999991</v>
      </c>
      <c r="AE23" s="236"/>
      <c r="AF23" s="236">
        <f>'Tabell 4.7'!W30</f>
        <v>56466.380577999997</v>
      </c>
      <c r="AG23" s="236">
        <f>'Tabell 4.7'!W61</f>
        <v>20388.782683415666</v>
      </c>
      <c r="AH23" s="236"/>
      <c r="AI23" s="236">
        <f>'Tabell 4.10'!W34</f>
        <v>2464.0079700000006</v>
      </c>
      <c r="AJ23" s="236">
        <f>'Tabell 4.10'!W68</f>
        <v>905.18970246000003</v>
      </c>
      <c r="AK23" s="236"/>
      <c r="AL23" s="236">
        <f>'Tabell 4.7'!W58</f>
        <v>3416.4251627999997</v>
      </c>
      <c r="AM23" s="236">
        <f>'Tabell 4.7'!W56</f>
        <v>11378.413741508559</v>
      </c>
      <c r="AN23" s="236">
        <f>'Tabell 4.7'!W59</f>
        <v>5593.943779107105</v>
      </c>
      <c r="AO23" s="236">
        <f>'Tabell 4.9'!W16</f>
        <v>3505.4701716039026</v>
      </c>
      <c r="AP23" s="236">
        <f t="shared" si="4"/>
        <v>2088.4736075032024</v>
      </c>
      <c r="AQ23" s="236"/>
      <c r="AR23" s="236">
        <f>'Tabell 4.7'!W45</f>
        <v>13176.188973210003</v>
      </c>
      <c r="AS23" s="236">
        <f t="shared" si="3"/>
        <v>7212.5937102056632</v>
      </c>
      <c r="AT23" s="236"/>
      <c r="AU23" s="236">
        <f>'Tabell 4.7'!W44</f>
        <v>3599.5893994749999</v>
      </c>
      <c r="AV23" s="236">
        <f>'Tabell 4.7'!W51</f>
        <v>1994.3543796321051</v>
      </c>
      <c r="AW23" s="236"/>
      <c r="AX23" s="236">
        <f>'Tabell 4.11–4.13'!W34</f>
        <v>6042.5074480000003</v>
      </c>
      <c r="AY23" s="236">
        <f>'Tabell 4.11–4.13'!W35</f>
        <v>1369.6320000000001</v>
      </c>
      <c r="AZ23" s="236">
        <f>'Tabell 4.11–4.13'!W36</f>
        <v>3909.1940399999999</v>
      </c>
      <c r="BB23" s="236">
        <f>'Tabell 4.11–4.13'!W39</f>
        <v>4876.8581458172803</v>
      </c>
      <c r="BC23" s="236">
        <f>'Tabell 4.11–4.13'!W33-BB23</f>
        <v>6444.4753421827181</v>
      </c>
      <c r="BD23" s="236"/>
      <c r="BE23" s="236">
        <f t="shared" si="1"/>
        <v>43.076711334283068</v>
      </c>
      <c r="BF23" s="236">
        <f t="shared" si="2"/>
        <v>56.923288665716932</v>
      </c>
      <c r="BG23" s="236"/>
      <c r="BH23" s="236">
        <f>'Tabell 4.11–4.13'!W64</f>
        <v>524.48800000000006</v>
      </c>
      <c r="BI23" s="236"/>
      <c r="BJ23" s="236">
        <f>'Tabell 4.11–4.13'!W85</f>
        <v>1715</v>
      </c>
      <c r="BL23" s="134">
        <v>1700</v>
      </c>
      <c r="BM23" s="134">
        <v>8872</v>
      </c>
      <c r="BN23" s="250">
        <f t="shared" si="5"/>
        <v>20388.782683415666</v>
      </c>
      <c r="BO23" s="134">
        <v>3506</v>
      </c>
      <c r="BP23" s="134"/>
      <c r="BQ23" s="134">
        <v>184225</v>
      </c>
      <c r="BR23" s="134">
        <v>67555</v>
      </c>
      <c r="BS23" s="250">
        <f>'Tabell 4.11–4.13'!W14*1000</f>
        <v>179095</v>
      </c>
      <c r="BT23" s="134">
        <v>57937</v>
      </c>
      <c r="BU23" s="134"/>
      <c r="BV23" s="134">
        <v>6161</v>
      </c>
      <c r="BW23" s="134">
        <v>3876</v>
      </c>
      <c r="BX23" s="134">
        <v>11321</v>
      </c>
      <c r="BY23" s="134">
        <v>3080</v>
      </c>
    </row>
    <row r="24" spans="1:77">
      <c r="A24" s="42">
        <v>2010</v>
      </c>
      <c r="B24" s="236">
        <f>'Tabell 1.1 (1)'!Z47</f>
        <v>1865</v>
      </c>
      <c r="C24" s="236">
        <f>'Tabell 1.1 (1)'!T47-'Tabell 1.1 (1)'!Z47</f>
        <v>9295</v>
      </c>
      <c r="D24" s="236">
        <f t="shared" si="0"/>
        <v>11160</v>
      </c>
      <c r="F24" s="234">
        <v>9.4155700000000007</v>
      </c>
      <c r="G24" s="236">
        <f>'Tabell 2.1–2.2'!Y17/F24</f>
        <v>1645.8589336598845</v>
      </c>
      <c r="H24" s="236">
        <f>'Tabell 2.1–2.2'!Y18/F24</f>
        <v>1222.7300099728429</v>
      </c>
      <c r="I24" s="239"/>
      <c r="J24" s="236">
        <f>'Tabell 2.1–2.2'!Y48</f>
        <v>3056</v>
      </c>
      <c r="K24" s="236">
        <f>'Tabell 2.1–2.2'!Y49</f>
        <v>7654</v>
      </c>
      <c r="M24" s="236">
        <f>'Tabell 3.1–3.3'!Y12</f>
        <v>610</v>
      </c>
      <c r="N24" s="236">
        <f>'Tabell 3.1–3.3'!Y11</f>
        <v>1375</v>
      </c>
      <c r="O24" s="236"/>
      <c r="P24" s="236">
        <f>'Tabell 3.5–3.7'!Y21</f>
        <v>1823</v>
      </c>
      <c r="Q24" s="236">
        <f>'Tabell 3.5–3.7'!Y18</f>
        <v>551</v>
      </c>
      <c r="R24" s="236"/>
      <c r="S24" s="236">
        <f>'Tabell 3.5–3.7'!Y56</f>
        <v>641</v>
      </c>
      <c r="T24" s="236"/>
      <c r="U24" s="236">
        <f>'Tabell 4.1–4.3'!Y11/1000</f>
        <v>98.134785991400008</v>
      </c>
      <c r="V24" s="236">
        <f>'Tabell 4.1–4.3'!Y17/1000</f>
        <v>42.447129000000004</v>
      </c>
      <c r="W24" s="236"/>
      <c r="X24" s="236">
        <f>'Tabell 4.1–4.3'!Y52</f>
        <v>27758.833678403713</v>
      </c>
      <c r="Y24" s="236"/>
      <c r="Z24" s="236">
        <f>'Tabell 4.1–4.3'!Y65</f>
        <v>1335.4970000000001</v>
      </c>
      <c r="AA24" s="236">
        <f>'Tabell 4.1–4.3'!Y66</f>
        <v>2083.4839999999999</v>
      </c>
      <c r="AB24" s="236"/>
      <c r="AC24" s="236">
        <f>'Tabell 4.1–4.3'!Y82</f>
        <v>4269</v>
      </c>
      <c r="AD24" s="236">
        <f>'Tabell 4.1–4.3'!Y83</f>
        <v>9313</v>
      </c>
      <c r="AE24" s="236"/>
      <c r="AF24" s="236">
        <f>'Tabell 4.7'!Y30</f>
        <v>68328.554950966311</v>
      </c>
      <c r="AG24" s="236">
        <f>'Tabell 4.7'!Y61</f>
        <v>23463.779546863581</v>
      </c>
      <c r="AH24" s="236"/>
      <c r="AI24" s="236">
        <f>'Tabell 4.10'!Y34</f>
        <v>2712.5726700000005</v>
      </c>
      <c r="AJ24" s="236">
        <f>'Tabell 4.10'!Y68</f>
        <v>1063.228035975</v>
      </c>
      <c r="AK24" s="236"/>
      <c r="AL24" s="236">
        <f>'Tabell 4.7'!Y58</f>
        <v>4619.753639999999</v>
      </c>
      <c r="AM24" s="236">
        <f>'Tabell 4.7'!Y56</f>
        <v>12889.240122671094</v>
      </c>
      <c r="AN24" s="236">
        <f>'Tabell 4.7'!Y59</f>
        <v>5954.785784192487</v>
      </c>
      <c r="AO24" s="236">
        <f>'Tabell 4.9'!Y16</f>
        <v>3414.0191730058941</v>
      </c>
      <c r="AP24" s="236">
        <f t="shared" si="4"/>
        <v>2540.7666111865929</v>
      </c>
      <c r="AQ24" s="236"/>
      <c r="AR24" s="236">
        <f>'Tabell 4.7'!Y45</f>
        <v>14828.244206960951</v>
      </c>
      <c r="AS24" s="236">
        <f t="shared" si="3"/>
        <v>8635.5353399026299</v>
      </c>
      <c r="AT24" s="236"/>
      <c r="AU24" s="236">
        <f>'Tabell 4.7'!Y44</f>
        <v>3743.5352238959545</v>
      </c>
      <c r="AV24" s="236">
        <f>'Tabell 4.7'!Y51</f>
        <v>2211.2505602965325</v>
      </c>
      <c r="AW24" s="236"/>
      <c r="AX24" s="236">
        <f>'Tabell 4.11–4.13'!Y34</f>
        <v>5902.0710159999999</v>
      </c>
      <c r="AY24" s="236">
        <f>'Tabell 4.11–4.13'!Y35</f>
        <v>1202.9057660000001</v>
      </c>
      <c r="AZ24" s="236">
        <f>'Tabell 4.11–4.13'!Y36</f>
        <v>4050.4428809999999</v>
      </c>
      <c r="BB24" s="236">
        <f>'Tabell 4.11–4.13'!Y39</f>
        <v>5047.079999999999</v>
      </c>
      <c r="BC24" s="236">
        <f>'Tabell 4.11–4.13'!Y33-BB24</f>
        <v>6108.3396630000016</v>
      </c>
      <c r="BD24" s="236"/>
      <c r="BE24" s="236">
        <f t="shared" si="1"/>
        <v>45.243300139931264</v>
      </c>
      <c r="BF24" s="236">
        <f t="shared" si="2"/>
        <v>54.756699860068736</v>
      </c>
      <c r="BG24" s="236"/>
      <c r="BH24" s="236">
        <f>'Tabell 4.11–4.13'!Y64</f>
        <v>547.80000000000007</v>
      </c>
      <c r="BI24" s="236"/>
      <c r="BJ24" s="236">
        <f>'Tabell 4.11–4.13'!Y85</f>
        <v>1731</v>
      </c>
      <c r="BL24" s="134">
        <v>2239</v>
      </c>
      <c r="BM24" s="134">
        <v>9750</v>
      </c>
      <c r="BN24" s="250">
        <f t="shared" si="5"/>
        <v>23463.779546863581</v>
      </c>
      <c r="BO24" s="134">
        <v>3496</v>
      </c>
      <c r="BP24" s="134"/>
      <c r="BQ24" s="134">
        <v>185947</v>
      </c>
      <c r="BR24" s="134">
        <v>68950</v>
      </c>
      <c r="BS24" s="250">
        <f>'Tabell 4.11–4.13'!Y14*1000</f>
        <v>179343</v>
      </c>
      <c r="BT24" s="134">
        <v>59304</v>
      </c>
      <c r="BU24" s="134"/>
      <c r="BV24" s="134">
        <v>6341</v>
      </c>
      <c r="BW24" s="134">
        <v>3959</v>
      </c>
      <c r="BX24" s="250">
        <f>'Tabell 4.11–4.13'!Y33</f>
        <v>11155.419663000001</v>
      </c>
      <c r="BY24" s="134">
        <v>3186</v>
      </c>
    </row>
    <row r="25" spans="1:77">
      <c r="A25" s="42">
        <v>2011</v>
      </c>
      <c r="B25" s="236">
        <f>'Tabell 1.1 (1)'!Z48</f>
        <v>1886</v>
      </c>
      <c r="C25" s="236">
        <f>'Tabell 1.1 (1)'!T48-'Tabell 1.1 (1)'!Z48</f>
        <v>9320</v>
      </c>
      <c r="D25" s="236">
        <f t="shared" si="0"/>
        <v>11206</v>
      </c>
      <c r="F25" s="234">
        <v>9.4828550000000007</v>
      </c>
      <c r="G25" s="236">
        <f>'Tabell 2.1–2.2'!AA17/F25</f>
        <v>1645.148006586624</v>
      </c>
      <c r="H25" s="236">
        <f>'Tabell 2.1–2.2'!AA18/F25</f>
        <v>1237.9921447707468</v>
      </c>
      <c r="I25" s="239"/>
      <c r="J25" s="236">
        <f>'Tabell 2.1–2.2'!AA48</f>
        <v>3062</v>
      </c>
      <c r="K25" s="236">
        <f>'Tabell 2.1–2.2'!AA49</f>
        <v>7582</v>
      </c>
      <c r="M25" s="236">
        <f>'Tabell 3.1–3.3'!AA12</f>
        <v>636</v>
      </c>
      <c r="N25" s="236">
        <f>'Tabell 3.1–3.3'!AA11</f>
        <v>1442</v>
      </c>
      <c r="O25" s="236"/>
      <c r="P25" s="236">
        <f>'Tabell 3.5–3.7'!AA21</f>
        <v>1910</v>
      </c>
      <c r="Q25" s="236">
        <f>'Tabell 3.5–3.7'!AA18</f>
        <v>502</v>
      </c>
      <c r="R25" s="236"/>
      <c r="S25" s="236">
        <f>'Tabell 3.5–3.7'!AA56</f>
        <v>691</v>
      </c>
      <c r="T25" s="236"/>
      <c r="U25" s="236">
        <f>'Tabell 4.1–4.3'!AA11/1000</f>
        <v>103.82622145944002</v>
      </c>
      <c r="V25" s="236">
        <f>'Tabell 4.1–4.3'!AA17/1000</f>
        <v>43.364400000000003</v>
      </c>
      <c r="W25" s="236"/>
      <c r="X25" s="236">
        <f>'Tabell 4.1–4.3'!AA52</f>
        <v>29898.5316276101</v>
      </c>
      <c r="Y25" s="236"/>
      <c r="Z25" s="236">
        <f>'Tabell 4.1–4.3'!AA65</f>
        <v>1379.3450427839998</v>
      </c>
      <c r="AA25" s="236">
        <f>'Tabell 4.1–4.3'!AA66</f>
        <v>2161.796072572</v>
      </c>
      <c r="AB25" s="236"/>
      <c r="AC25" s="236">
        <f>'Tabell 4.1–4.3'!AA82</f>
        <v>4244</v>
      </c>
      <c r="AD25" s="236">
        <f>'Tabell 4.1–4.3'!AA83</f>
        <v>9256</v>
      </c>
      <c r="AE25" s="236"/>
      <c r="AF25" s="236">
        <f>'Tabell 4.7'!AA30</f>
        <v>67906.684789368461</v>
      </c>
      <c r="AG25" s="236">
        <f>'Tabell 4.7'!AA61</f>
        <v>22864.313674349498</v>
      </c>
      <c r="AH25" s="236"/>
      <c r="AI25" s="236">
        <f>'Tabell 4.10'!AA34</f>
        <v>3214.6746617698018</v>
      </c>
      <c r="AJ25" s="236">
        <f>'Tabell 4.10'!AA68</f>
        <v>1376.5875713989951</v>
      </c>
      <c r="AK25" s="236"/>
      <c r="AL25" s="236">
        <f>'Tabell 4.7'!AA58</f>
        <v>4669.9259450000009</v>
      </c>
      <c r="AM25" s="236">
        <f>'Tabell 4.7'!AA56</f>
        <v>12254.452071239335</v>
      </c>
      <c r="AN25" s="236">
        <f>'Tabell 4.7'!AA59</f>
        <v>5939.9356581101611</v>
      </c>
      <c r="AO25" s="236">
        <f>'Tabell 4.9'!AA16</f>
        <v>3438.2916804919073</v>
      </c>
      <c r="AP25" s="236">
        <f t="shared" si="4"/>
        <v>2501.6439776182538</v>
      </c>
      <c r="AQ25" s="236"/>
      <c r="AR25" s="236">
        <f>'Tabell 4.7'!AA45</f>
        <v>14449.170367857991</v>
      </c>
      <c r="AS25" s="236">
        <f t="shared" si="3"/>
        <v>8415.1433064915072</v>
      </c>
      <c r="AT25" s="236"/>
      <c r="AU25" s="236">
        <f>'Tabell 4.7'!AA44</f>
        <v>3826.3990244284528</v>
      </c>
      <c r="AV25" s="236">
        <f>'Tabell 4.7'!AA51</f>
        <v>2113.5366336817083</v>
      </c>
      <c r="AW25" s="236"/>
      <c r="AX25" s="236">
        <f>'Tabell 4.11–4.13'!AA34</f>
        <v>6083.6483440000002</v>
      </c>
      <c r="AY25" s="236">
        <f>'Tabell 4.11–4.13'!AA35</f>
        <v>1222.0427810000001</v>
      </c>
      <c r="AZ25" s="236">
        <f>'Tabell 4.11–4.13'!AA36</f>
        <v>4072.6852190142599</v>
      </c>
      <c r="BB25" s="236">
        <f>'Tabell 4.11–4.13'!AA39</f>
        <v>5184.3911050142588</v>
      </c>
      <c r="BC25" s="236">
        <f>'Tabell 4.11–4.13'!AA33-BB25</f>
        <v>6193.9852390000042</v>
      </c>
      <c r="BD25" s="236"/>
      <c r="BE25" s="236">
        <f t="shared" si="1"/>
        <v>45.563540423248284</v>
      </c>
      <c r="BF25" s="236">
        <f t="shared" si="2"/>
        <v>54.436459576751716</v>
      </c>
      <c r="BG25" s="236"/>
      <c r="BH25" s="236">
        <f>'Tabell 4.11–4.13'!AA64</f>
        <v>615.20000000000005</v>
      </c>
      <c r="BI25" s="236"/>
      <c r="BJ25" s="236">
        <f>'Tabell 4.11–4.13'!AA85</f>
        <v>1725</v>
      </c>
      <c r="BL25" s="134">
        <v>2614</v>
      </c>
      <c r="BM25" s="134">
        <v>9395</v>
      </c>
      <c r="BN25" s="250">
        <f t="shared" si="5"/>
        <v>22864.313674349498</v>
      </c>
      <c r="BO25" s="134">
        <v>3574</v>
      </c>
      <c r="BP25" s="134"/>
      <c r="BQ25" s="134">
        <v>194428</v>
      </c>
      <c r="BR25" s="134">
        <v>68376</v>
      </c>
      <c r="BS25" s="250">
        <f>'Tabell 4.11–4.13'!AA14*1000</f>
        <v>187055</v>
      </c>
      <c r="BT25" s="134">
        <v>59384</v>
      </c>
      <c r="BU25" s="134"/>
      <c r="BV25" s="134">
        <v>6605</v>
      </c>
      <c r="BW25" s="134">
        <v>3882</v>
      </c>
      <c r="BX25" s="250">
        <f>'Tabell 4.11–4.13'!AA33</f>
        <v>11378.376344014263</v>
      </c>
      <c r="BY25" s="134">
        <v>3076</v>
      </c>
    </row>
    <row r="26" spans="1:77">
      <c r="A26" s="42">
        <v>2012</v>
      </c>
      <c r="B26" s="236">
        <f>'Tabell 1.1 (1)'!Z49</f>
        <v>1946.6</v>
      </c>
      <c r="C26" s="236">
        <f>'Tabell 1.1 (1)'!T49-'Tabell 1.1 (1)'!Z49</f>
        <v>9189.6</v>
      </c>
      <c r="D26" s="236">
        <f t="shared" si="0"/>
        <v>11136.2</v>
      </c>
      <c r="F26" s="234">
        <v>9.5558929999999993</v>
      </c>
      <c r="G26" s="236">
        <f>'Tabell 2.1–2.2'!AC17/F26</f>
        <v>1635.9224616684178</v>
      </c>
      <c r="H26" s="236">
        <f>'Tabell 2.1–2.2'!AC18/F26</f>
        <v>1250.71513462949</v>
      </c>
      <c r="I26" s="239"/>
      <c r="J26" s="236">
        <f>'Tabell 2.1–2.2'!AC48</f>
        <v>3086</v>
      </c>
      <c r="K26" s="236">
        <f>'Tabell 2.1–2.2'!AC49</f>
        <v>7380</v>
      </c>
      <c r="M26" s="236">
        <f>'Tabell 3.1–3.3'!AC12</f>
        <v>620</v>
      </c>
      <c r="N26" s="236">
        <f>'Tabell 3.1–3.3'!AC11</f>
        <v>1715</v>
      </c>
      <c r="O26" s="236"/>
      <c r="P26" s="236">
        <f>'Tabell 3.5–3.7'!AC21</f>
        <v>2133</v>
      </c>
      <c r="Q26" s="236">
        <f>'Tabell 3.5–3.7'!AC18</f>
        <v>513</v>
      </c>
      <c r="R26" s="236"/>
      <c r="S26" s="236">
        <f>'Tabell 3.5–3.7'!AC56</f>
        <v>739</v>
      </c>
      <c r="T26" s="236"/>
      <c r="U26" s="236">
        <f>'Tabell 4.1–4.3'!AC11/1000</f>
        <v>106.01145905793118</v>
      </c>
      <c r="V26" s="236">
        <f>'Tabell 4.1–4.3'!AC17/1000</f>
        <v>39.719244967034392</v>
      </c>
      <c r="W26" s="236"/>
      <c r="X26" s="236">
        <f>'Tabell 4.1–4.3'!AC52</f>
        <v>30758.211643537652</v>
      </c>
      <c r="Y26" s="236"/>
      <c r="Z26" s="236">
        <f>'Tabell 4.1–4.3'!AC65</f>
        <v>1410.9258606420001</v>
      </c>
      <c r="AA26" s="236">
        <f>'Tabell 4.1–4.3'!AC66</f>
        <v>2187.1256365949998</v>
      </c>
      <c r="AB26" s="236"/>
      <c r="AC26" s="236">
        <f>'Tabell 4.1–4.3'!AC82</f>
        <v>4379.5691939999997</v>
      </c>
      <c r="AD26" s="236">
        <f>'Tabell 4.1–4.3'!AC83</f>
        <v>9553.1512180000009</v>
      </c>
      <c r="AE26" s="236"/>
      <c r="AF26" s="236">
        <f>'Tabell 4.7'!AC30</f>
        <v>65788.695421429366</v>
      </c>
      <c r="AG26" s="236">
        <f>'Tabell 4.7'!AC61</f>
        <v>22042.639650754358</v>
      </c>
      <c r="AH26" s="236"/>
      <c r="AI26" s="236">
        <f>'Tabell 4.10'!AC34</f>
        <v>3233.1480883782806</v>
      </c>
      <c r="AJ26" s="236">
        <f>'Tabell 4.10'!AC68</f>
        <v>1531.8270137056804</v>
      </c>
      <c r="AK26" s="236"/>
      <c r="AL26" s="236">
        <f>'Tabell 4.7'!AC58</f>
        <v>4587.9438603999997</v>
      </c>
      <c r="AM26" s="236">
        <f>'Tabell 4.7'!AC56</f>
        <v>12079.532096244253</v>
      </c>
      <c r="AN26" s="236">
        <f>'Tabell 4.7'!AC59</f>
        <v>5375.1636941101078</v>
      </c>
      <c r="AO26" s="236">
        <f>'Tabell 4.9'!AC16</f>
        <v>3238.0838392296</v>
      </c>
      <c r="AP26" s="236">
        <f t="shared" si="4"/>
        <v>2137.0798548805078</v>
      </c>
      <c r="AQ26" s="236"/>
      <c r="AR26" s="236">
        <f>'Tabell 4.7'!AC45</f>
        <v>13921.60537846654</v>
      </c>
      <c r="AS26" s="236">
        <f t="shared" si="3"/>
        <v>8121.0342722878177</v>
      </c>
      <c r="AT26" s="236"/>
      <c r="AU26" s="236">
        <f>'Tabell 4.7'!AC44</f>
        <v>3545.8177144869442</v>
      </c>
      <c r="AV26" s="236">
        <f>'Tabell 4.7'!AC51</f>
        <v>1829.3459796231632</v>
      </c>
      <c r="AW26" s="236"/>
      <c r="AX26" s="236">
        <f>'Tabell 4.11–4.13'!AC34</f>
        <v>6128.6206799418414</v>
      </c>
      <c r="AY26" s="236">
        <f>'Tabell 4.11–4.13'!AC35</f>
        <v>1201.6219999999998</v>
      </c>
      <c r="AZ26" s="236">
        <f>'Tabell 4.11–4.13'!AC36</f>
        <v>4461.8953262487048</v>
      </c>
      <c r="BB26" s="236">
        <f>'Tabell 4.11–4.13'!AC39</f>
        <v>5535.4518477769479</v>
      </c>
      <c r="BC26" s="236">
        <f>'Tabell 4.11–4.13'!AC33-BB26</f>
        <v>6256.6861584135977</v>
      </c>
      <c r="BD26" s="236"/>
      <c r="BE26" s="236">
        <f t="shared" si="1"/>
        <v>46.941884880171763</v>
      </c>
      <c r="BF26" s="236">
        <f t="shared" si="2"/>
        <v>53.058115119828237</v>
      </c>
      <c r="BG26" s="236"/>
      <c r="BH26" s="236">
        <f>'Tabell 4.11–4.13'!AC64</f>
        <v>577.19999999999993</v>
      </c>
      <c r="BI26" s="236"/>
      <c r="BJ26" s="236">
        <f>'Tabell 4.11–4.13'!AC85</f>
        <v>1796</v>
      </c>
      <c r="BL26" s="134">
        <v>2278</v>
      </c>
      <c r="BM26" s="134">
        <v>9275</v>
      </c>
      <c r="BN26" s="250">
        <f t="shared" si="5"/>
        <v>22042.639650754358</v>
      </c>
      <c r="BO26" s="134">
        <v>3489</v>
      </c>
      <c r="BP26" s="134"/>
      <c r="BQ26" s="134">
        <v>201899</v>
      </c>
      <c r="BR26" s="134">
        <v>69331</v>
      </c>
      <c r="BS26" s="250">
        <f>'Tabell 4.11–4.13'!AC14*1000</f>
        <v>193163</v>
      </c>
      <c r="BT26" s="134">
        <v>62689</v>
      </c>
      <c r="BU26" s="134"/>
      <c r="BV26" s="134">
        <v>6744</v>
      </c>
      <c r="BW26" s="134">
        <v>4035</v>
      </c>
      <c r="BX26" s="250">
        <f>'Tabell 4.11–4.13'!AC33</f>
        <v>11792.138006190546</v>
      </c>
      <c r="BY26" s="134">
        <v>3092</v>
      </c>
    </row>
    <row r="27" spans="1:77">
      <c r="A27" s="42">
        <v>2013</v>
      </c>
      <c r="B27" s="236">
        <f>'Tabell 1.1 (1)'!Z50</f>
        <v>1947.6</v>
      </c>
      <c r="C27" s="236">
        <f>'Tabell 1.1 (1)'!T50-'Tabell 1.1 (1)'!Z50</f>
        <v>9009.6</v>
      </c>
      <c r="D27" s="236">
        <f t="shared" si="0"/>
        <v>10957.2</v>
      </c>
      <c r="F27" s="234">
        <v>9.6448640000000001</v>
      </c>
      <c r="G27" s="236">
        <f>'Tabell 2.1–2.2'!AE17/F27</f>
        <v>1603.7240131120564</v>
      </c>
      <c r="H27" s="236">
        <f>'Tabell 2.1–2.2'!AE18/F27</f>
        <v>1247.7832761560971</v>
      </c>
      <c r="I27" s="239"/>
      <c r="J27" s="236">
        <f>'Tabell 2.1–2.2'!AE48</f>
        <v>3092</v>
      </c>
      <c r="K27" s="236">
        <f>'Tabell 2.1–2.2'!AE49</f>
        <v>7355</v>
      </c>
      <c r="M27" s="236">
        <f>'Tabell 3.1–3.3'!AE12</f>
        <v>563</v>
      </c>
      <c r="N27" s="236">
        <f>'Tabell 3.1–3.3'!AE11</f>
        <v>1786</v>
      </c>
      <c r="O27" s="236"/>
      <c r="P27" s="236">
        <f>'Tabell 3.5–3.7'!AE21</f>
        <v>2206</v>
      </c>
      <c r="Q27" s="236">
        <f>'Tabell 3.5–3.7'!AE18</f>
        <v>509</v>
      </c>
      <c r="R27" s="236"/>
      <c r="S27" s="236">
        <f>'Tabell 3.5–3.7'!AE56</f>
        <v>746</v>
      </c>
      <c r="T27" s="236"/>
      <c r="U27" s="236">
        <f>'Tabell 4.1–4.3'!AE11/1000</f>
        <v>113.03597887699888</v>
      </c>
      <c r="V27" s="236">
        <f>'Tabell 4.1–4.3'!AE17/1000</f>
        <v>38.149238695800001</v>
      </c>
      <c r="W27" s="236"/>
      <c r="X27" s="236">
        <f>'Tabell 4.1–4.3'!AE52</f>
        <v>33474.00020997371</v>
      </c>
      <c r="Y27" s="236"/>
      <c r="Z27" s="236">
        <f>'Tabell 4.1–4.3'!AE65</f>
        <v>1439.7929457395601</v>
      </c>
      <c r="AA27" s="236">
        <f>'Tabell 4.1–4.3'!AE66</f>
        <v>2258.47762709366</v>
      </c>
      <c r="AB27" s="236"/>
      <c r="AC27" s="236">
        <f>'Tabell 4.1–4.3'!AE82</f>
        <v>4417.3346519999996</v>
      </c>
      <c r="AD27" s="236">
        <f>'Tabell 4.1–4.3'!AE83</f>
        <v>9639.8446039999981</v>
      </c>
      <c r="AE27" s="236"/>
      <c r="AF27" s="236">
        <f>'Tabell 4.7'!AE30</f>
        <v>67046.57778417095</v>
      </c>
      <c r="AG27" s="236">
        <f>'Tabell 4.7'!AE61</f>
        <v>20969.97451140235</v>
      </c>
      <c r="AH27" s="236"/>
      <c r="AI27" s="236">
        <f>'Tabell 4.10'!AE34</f>
        <v>3209.370626247457</v>
      </c>
      <c r="AJ27" s="236">
        <f>'Tabell 4.10'!AE68</f>
        <v>1523.5371069319185</v>
      </c>
      <c r="AK27" s="236"/>
      <c r="AL27" s="236">
        <f>'Tabell 4.7'!AE58</f>
        <v>4510.8054028000006</v>
      </c>
      <c r="AM27" s="236">
        <f>'Tabell 4.7'!AE56</f>
        <v>11585.367613223003</v>
      </c>
      <c r="AN27" s="236">
        <f>'Tabell 4.7'!AE59</f>
        <v>4873.8014953793518</v>
      </c>
      <c r="AO27" s="236">
        <f>'Tabell 4.9'!AE16</f>
        <v>2624.002259293165</v>
      </c>
      <c r="AP27" s="236">
        <f t="shared" si="4"/>
        <v>2249.7992360861867</v>
      </c>
      <c r="AQ27" s="236"/>
      <c r="AR27" s="236">
        <f>'Tabell 4.7'!AE45</f>
        <v>13128.74926060128</v>
      </c>
      <c r="AS27" s="236">
        <f t="shared" si="3"/>
        <v>7841.2252508010697</v>
      </c>
      <c r="AT27" s="236"/>
      <c r="AU27" s="236">
        <f>'Tabell 4.7'!AE44</f>
        <v>2989.5948993392758</v>
      </c>
      <c r="AV27" s="236">
        <f>'Tabell 4.7'!AE51</f>
        <v>1884.206596040076</v>
      </c>
      <c r="AW27" s="236"/>
      <c r="AX27" s="236">
        <f>'Tabell 4.11–4.13'!AE34</f>
        <v>5925.0845862449505</v>
      </c>
      <c r="AY27" s="236">
        <f>'Tabell 4.11–4.13'!AE35</f>
        <v>1270.1284029231765</v>
      </c>
      <c r="AZ27" s="236">
        <f>'Tabell 4.11–4.13'!AE36</f>
        <v>4646.4457317142424</v>
      </c>
      <c r="BB27" s="236">
        <f>'Tabell 4.11–4.13'!AE39</f>
        <v>5733.2901064768421</v>
      </c>
      <c r="BC27" s="236">
        <f>'Tabell 4.11–4.13'!AE33-BB27</f>
        <v>6108.3746144055249</v>
      </c>
      <c r="BD27" s="236"/>
      <c r="BE27" s="236">
        <f t="shared" si="1"/>
        <v>48.416250937812677</v>
      </c>
      <c r="BF27" s="236">
        <f t="shared" si="2"/>
        <v>51.583749062187323</v>
      </c>
      <c r="BG27" s="236"/>
      <c r="BH27" s="236">
        <f>'Tabell 4.11–4.13'!AE64</f>
        <v>608.11764432647658</v>
      </c>
      <c r="BI27" s="236"/>
      <c r="BJ27" s="236">
        <f>'Tabell 4.11–4.13'!AE85</f>
        <v>1841</v>
      </c>
      <c r="BL27" s="134">
        <v>2449</v>
      </c>
      <c r="BM27" s="134">
        <v>9470</v>
      </c>
      <c r="BN27" s="250">
        <f t="shared" si="5"/>
        <v>20969.97451140235</v>
      </c>
      <c r="BO27" s="134">
        <v>3383</v>
      </c>
      <c r="BP27" s="134"/>
      <c r="BQ27" s="134">
        <v>206160</v>
      </c>
      <c r="BR27" s="134">
        <v>69318</v>
      </c>
      <c r="BS27" s="250">
        <f>'Tabell 4.11–4.13'!AE14*1000</f>
        <v>200706</v>
      </c>
      <c r="BT27" s="134">
        <v>67251</v>
      </c>
      <c r="BU27" s="134"/>
      <c r="BV27" s="134">
        <v>6785</v>
      </c>
      <c r="BW27" s="134">
        <v>4053</v>
      </c>
      <c r="BX27" s="250">
        <f>'Tabell 4.11–4.13'!AE33</f>
        <v>11841.664720882367</v>
      </c>
      <c r="BY27" s="134">
        <v>3260</v>
      </c>
    </row>
    <row r="28" spans="1:77">
      <c r="A28" s="42">
        <v>2014</v>
      </c>
      <c r="B28" s="236">
        <f>'Tabell 1.1 (1)'!Z51</f>
        <v>1949.6</v>
      </c>
      <c r="C28" s="236">
        <f>'Tabell 1.1 (1)'!T51-'Tabell 1.1 (1)'!Z51</f>
        <v>8931.6</v>
      </c>
      <c r="D28" s="236">
        <f t="shared" ref="D28:D35" si="6">B28+C28</f>
        <v>10881.2</v>
      </c>
      <c r="F28" s="234">
        <v>9.7473550000000007</v>
      </c>
      <c r="G28" s="236">
        <f>'Tabell 2.1–2.2'!AG17/F28</f>
        <v>1576.8072466838439</v>
      </c>
      <c r="H28" s="236">
        <f>'Tabell 2.1–2.2'!AG18/F28</f>
        <v>1245.3327082064827</v>
      </c>
      <c r="J28" s="236">
        <f>'Tabell 2.1–2.2'!AG48</f>
        <v>3085</v>
      </c>
      <c r="K28" s="236">
        <f>'Tabell 2.1–2.2'!AG49</f>
        <v>7293</v>
      </c>
      <c r="M28" s="236">
        <f>'Tabell 3.1–3.3'!AG12</f>
        <v>563</v>
      </c>
      <c r="N28" s="236">
        <f>'Tabell 3.1–3.3'!AG11</f>
        <v>1873</v>
      </c>
      <c r="O28" s="236"/>
      <c r="P28" s="236">
        <f>'Tabell 3.5–3.7'!AG21</f>
        <v>2307</v>
      </c>
      <c r="Q28" s="236">
        <f>'Tabell 3.5–3.7'!AG18</f>
        <v>499</v>
      </c>
      <c r="R28" s="236"/>
      <c r="S28" s="236">
        <f>'Tabell 3.5–3.7'!AG56</f>
        <v>753</v>
      </c>
      <c r="T28" s="236"/>
      <c r="U28" s="236">
        <f>'Tabell 4.1–4.3'!AG11/1000</f>
        <v>115.88631711183987</v>
      </c>
      <c r="V28" s="236">
        <f>'Tabell 4.1–4.3'!AG17/1000</f>
        <v>37.097647112019999</v>
      </c>
      <c r="W28" s="236"/>
      <c r="X28" s="236">
        <f>'Tabell 4.1–4.3'!AG52</f>
        <v>34272.317332494487</v>
      </c>
      <c r="Y28" s="236"/>
      <c r="Z28" s="236">
        <f>'Tabell 4.1–4.3'!AG65</f>
        <v>1421.371607</v>
      </c>
      <c r="AA28" s="236">
        <f>'Tabell 4.1–4.3'!AG66</f>
        <v>2214.7073270000001</v>
      </c>
      <c r="AB28" s="236"/>
      <c r="AC28" s="236">
        <f>'Tabell 4.1–4.3'!AG82</f>
        <v>4503.6343559999996</v>
      </c>
      <c r="AD28" s="236">
        <f>'Tabell 4.1–4.3'!AG83</f>
        <v>9830.7244520000004</v>
      </c>
      <c r="AE28" s="236"/>
      <c r="AF28" s="236">
        <f>'Tabell 4.7'!AG30</f>
        <v>68034.889490097543</v>
      </c>
      <c r="AG28" s="236">
        <f>'Tabell 4.7'!AG61</f>
        <v>21296.328419109857</v>
      </c>
      <c r="AH28" s="236"/>
      <c r="AI28" s="236">
        <f>'Tabell 4.10'!AG34</f>
        <v>3274.56329333333</v>
      </c>
      <c r="AJ28" s="236">
        <f>'Tabell 4.10'!AG68</f>
        <v>1562.3134355113332</v>
      </c>
      <c r="AK28" s="236"/>
      <c r="AL28" s="236">
        <f>'Tabell 4.7'!AG58</f>
        <v>4503.8373276999992</v>
      </c>
      <c r="AM28" s="236">
        <f>'Tabell 4.7'!AG56</f>
        <v>11746.56201862335</v>
      </c>
      <c r="AN28" s="236">
        <f>'Tabell 4.7'!AG59</f>
        <v>5045.9290727865064</v>
      </c>
      <c r="AO28" s="236">
        <f>'Tabell 4.9'!AG16</f>
        <v>2678.5933418303835</v>
      </c>
      <c r="AP28" s="236">
        <f t="shared" si="4"/>
        <v>2367.3357309561229</v>
      </c>
      <c r="AQ28" s="236"/>
      <c r="AR28" s="236">
        <f>'Tabell 4.7'!AG45</f>
        <v>13455.720408419855</v>
      </c>
      <c r="AS28" s="236">
        <f t="shared" si="3"/>
        <v>7840.6080106900026</v>
      </c>
      <c r="AT28" s="236"/>
      <c r="AU28" s="236">
        <f>'Tabell 4.7'!AG44</f>
        <v>3244.5811397545062</v>
      </c>
      <c r="AV28" s="236">
        <f>'Tabell 4.7'!AG51</f>
        <v>1801.3479330319999</v>
      </c>
      <c r="AW28" s="236"/>
      <c r="AX28" s="236">
        <f>'Tabell 4.11–4.13'!AG34</f>
        <v>6083.4456223095794</v>
      </c>
      <c r="AY28" s="236">
        <f>'Tabell 4.11–4.13'!AG35</f>
        <v>1175.1391938441375</v>
      </c>
      <c r="AZ28" s="236">
        <f>'Tabell 4.11–4.13'!AG36</f>
        <v>4862.5926885030103</v>
      </c>
      <c r="BB28" s="236">
        <f>'Tabell 4.11–4.13'!AG39</f>
        <v>5914.6483578056141</v>
      </c>
      <c r="BC28" s="236">
        <f>'Tabell 4.11–4.13'!AG33-BB28</f>
        <v>6206.5291468511132</v>
      </c>
      <c r="BD28" s="236"/>
      <c r="BE28" s="236">
        <f t="shared" si="1"/>
        <v>48.79598830669147</v>
      </c>
      <c r="BF28" s="236">
        <f t="shared" si="2"/>
        <v>51.20401169330853</v>
      </c>
      <c r="BG28" s="236"/>
      <c r="BH28" s="236">
        <f>'Tabell 4.11–4.13'!AG64</f>
        <v>594.9</v>
      </c>
      <c r="BI28" s="236"/>
      <c r="BJ28" s="236">
        <f>'Tabell 4.11–4.13'!AG85</f>
        <v>1848</v>
      </c>
      <c r="BL28" s="134">
        <v>2453</v>
      </c>
      <c r="BM28" s="134">
        <v>9597</v>
      </c>
      <c r="BN28" s="250">
        <f t="shared" si="5"/>
        <v>21296.328419109857</v>
      </c>
      <c r="BO28" s="134">
        <v>3539</v>
      </c>
      <c r="BP28" s="134"/>
      <c r="BQ28" s="134">
        <v>208311</v>
      </c>
      <c r="BR28" s="134">
        <v>68262</v>
      </c>
      <c r="BS28" s="250">
        <f>'Tabell 4.11–4.13'!AG14*1000</f>
        <v>207280</v>
      </c>
      <c r="BT28" s="134">
        <v>70341</v>
      </c>
      <c r="BU28" s="134"/>
      <c r="BV28" s="134">
        <v>6513</v>
      </c>
      <c r="BW28" s="134">
        <v>3874</v>
      </c>
      <c r="BX28" s="250">
        <f>'Tabell 4.11–4.13'!AG33</f>
        <v>12121.177504656727</v>
      </c>
      <c r="BY28" s="134">
        <v>3440</v>
      </c>
    </row>
    <row r="29" spans="1:77">
      <c r="A29" s="42">
        <v>2015</v>
      </c>
      <c r="B29" s="236">
        <f>'Tabell 1.1 (1)'!Z52</f>
        <v>1963.6</v>
      </c>
      <c r="C29" s="236">
        <f>'Tabell 1.1 (1)'!T52-'Tabell 1.1 (1)'!Z52</f>
        <v>8944.6</v>
      </c>
      <c r="D29" s="236">
        <f t="shared" si="6"/>
        <v>10908.2</v>
      </c>
      <c r="F29" s="234">
        <v>9.8510170000000006</v>
      </c>
      <c r="G29" s="236">
        <f>'Tabell 2.1–2.2'!AI17/F29</f>
        <v>1565.6962118733527</v>
      </c>
      <c r="H29" s="236">
        <f>'Tabell 2.1–2.2'!AI18/F29</f>
        <v>1232.7356657693313</v>
      </c>
      <c r="J29" s="236">
        <f>'Tabell 2.1–2.2'!AI48</f>
        <v>3088</v>
      </c>
      <c r="K29" s="236">
        <f>'Tabell 2.1–2.2'!AI49</f>
        <v>7203</v>
      </c>
      <c r="M29" s="236">
        <f>'Tabell 3.1–3.3'!AI12</f>
        <v>535</v>
      </c>
      <c r="N29" s="236">
        <f>'Tabell 3.1–3.3'!AI11</f>
        <v>1905</v>
      </c>
      <c r="O29" s="236"/>
      <c r="P29" s="236">
        <f>'Tabell 3.5–3.7'!AI21</f>
        <v>2347</v>
      </c>
      <c r="Q29" s="236">
        <f>'Tabell 3.5–3.7'!AI18</f>
        <v>511</v>
      </c>
      <c r="R29" s="236"/>
      <c r="S29" s="236">
        <f>'Tabell 3.5–3.7'!AI56</f>
        <v>783</v>
      </c>
      <c r="T29" s="236"/>
      <c r="U29" s="236">
        <f>'Tabell 4.1–4.3'!AI11/1000</f>
        <v>117.42195593509987</v>
      </c>
      <c r="V29" s="236">
        <f>'Tabell 4.1–4.3'!AI17/1000</f>
        <v>35.458264678984769</v>
      </c>
      <c r="W29" s="236"/>
      <c r="X29" s="236">
        <f>'Tabell 4.1–4.3'!AI52</f>
        <v>34896.27273160193</v>
      </c>
      <c r="Y29" s="236"/>
      <c r="Z29" s="236">
        <f>'Tabell 4.1–4.3'!AI65</f>
        <v>1434.4095774</v>
      </c>
      <c r="AA29" s="236">
        <f>'Tabell 4.1–4.3'!AI66</f>
        <v>2232.3856052880001</v>
      </c>
      <c r="AB29" s="236"/>
      <c r="AC29" s="236">
        <f>'Tabell 4.1–4.3'!AI82</f>
        <v>4608.3596580000003</v>
      </c>
      <c r="AD29" s="236">
        <f>'Tabell 4.1–4.3'!AI83</f>
        <v>10450.443238</v>
      </c>
      <c r="AE29" s="236"/>
      <c r="AF29" s="236">
        <f>'Tabell 4.7'!AI30</f>
        <v>64998.634099142044</v>
      </c>
      <c r="AG29" s="236">
        <f>'Tabell 4.7'!AI61</f>
        <v>20699.316376736151</v>
      </c>
      <c r="AH29" s="236"/>
      <c r="AI29" s="236">
        <f>'Tabell 4.10'!AI34</f>
        <v>3384.4087391666667</v>
      </c>
      <c r="AJ29" s="236">
        <f>'Tabell 4.10'!AI68</f>
        <v>1565.2876496241663</v>
      </c>
      <c r="AK29" s="236"/>
      <c r="AL29" s="236">
        <f>'Tabell 4.7'!AI58</f>
        <v>4395.9082094000005</v>
      </c>
      <c r="AM29" s="236">
        <f>'Tabell 4.7'!AI56</f>
        <v>11040.449419115566</v>
      </c>
      <c r="AN29" s="236">
        <f>'Tabell 4.7'!AI59</f>
        <v>5262.9587482205898</v>
      </c>
      <c r="AO29" s="236">
        <f>'Tabell 4.9'!AI16</f>
        <v>2636.6764824109237</v>
      </c>
      <c r="AP29" s="236">
        <f>AN29-AO29</f>
        <v>2626.2822658096661</v>
      </c>
      <c r="AQ29" s="236"/>
      <c r="AR29" s="236">
        <f>'Tabell 4.7'!AI45</f>
        <v>12799.896198274801</v>
      </c>
      <c r="AS29" s="236">
        <f t="shared" si="3"/>
        <v>7899.4201784613506</v>
      </c>
      <c r="AT29" s="236"/>
      <c r="AU29" s="236">
        <f>'Tabell 4.7'!AI44</f>
        <v>3514.8673351355901</v>
      </c>
      <c r="AV29" s="236">
        <f>'Tabell 4.7'!AI51</f>
        <v>1748.0914130849999</v>
      </c>
      <c r="AW29" s="236"/>
      <c r="AX29" s="236">
        <f>'Tabell 4.11–4.13'!AI34</f>
        <v>6332.0075054734471</v>
      </c>
      <c r="AY29" s="236">
        <f>'Tabell 4.11–4.13'!AI35</f>
        <v>1275.7356229215779</v>
      </c>
      <c r="AZ29" s="236">
        <f>'Tabell 4.11–4.13'!AI36</f>
        <v>5042.2006480624896</v>
      </c>
      <c r="BB29" s="236">
        <f>'Tabell 4.11–4.13'!AI39</f>
        <v>6121.1604908284298</v>
      </c>
      <c r="BC29" s="236">
        <f>'Tabell 4.11–4.13'!AI33-BB29</f>
        <v>6528.7832856290861</v>
      </c>
      <c r="BD29" s="236"/>
      <c r="BE29" s="236">
        <f>BB29/(BB29+BC29)*100</f>
        <v>48.388835547398742</v>
      </c>
      <c r="BF29" s="236">
        <f t="shared" si="2"/>
        <v>51.611164452601258</v>
      </c>
      <c r="BG29" s="236"/>
      <c r="BH29" s="236">
        <f>'Tabell 4.11–4.13'!AI64</f>
        <v>607.79999999999995</v>
      </c>
      <c r="BI29" s="236"/>
      <c r="BJ29" s="236">
        <f>'Tabell 4.11–4.13'!AI85</f>
        <v>1892</v>
      </c>
      <c r="BL29" s="134">
        <v>2603</v>
      </c>
      <c r="BM29" s="134">
        <v>8468</v>
      </c>
      <c r="BN29" s="250">
        <f t="shared" si="5"/>
        <v>20699.316376736151</v>
      </c>
      <c r="BO29" s="134">
        <v>3498</v>
      </c>
      <c r="BP29" s="134"/>
      <c r="BQ29" s="134">
        <v>212253</v>
      </c>
      <c r="BR29" s="134">
        <v>75952</v>
      </c>
      <c r="BS29" s="250">
        <f>'Tabell 4.11–4.13'!AI14*1000</f>
        <v>214434</v>
      </c>
      <c r="BT29" s="134">
        <v>73836</v>
      </c>
      <c r="BU29" s="134"/>
      <c r="BV29" s="134">
        <v>6507</v>
      </c>
      <c r="BW29" s="134">
        <v>4114</v>
      </c>
      <c r="BX29" s="250">
        <f>'Tabell 4.11–4.13'!AI33</f>
        <v>12649.943776457516</v>
      </c>
      <c r="BY29" s="134">
        <v>3555</v>
      </c>
    </row>
    <row r="30" spans="1:77">
      <c r="A30" s="42">
        <v>2016</v>
      </c>
      <c r="B30" s="236">
        <f>'Tabell 1.1 (1)'!Z53</f>
        <v>2009.346</v>
      </c>
      <c r="C30" s="236">
        <f>'Tabell 1.1 (1)'!T53-'Tabell 1.1 (1)'!Z53</f>
        <v>8872.4000000000015</v>
      </c>
      <c r="D30" s="236">
        <f t="shared" si="6"/>
        <v>10881.746000000001</v>
      </c>
      <c r="F30" s="234">
        <v>9.9951530000000002</v>
      </c>
      <c r="G30" s="236">
        <f>'Tabell 2.1–2.2'!AK17/F30</f>
        <v>1546.6288510040818</v>
      </c>
      <c r="H30" s="236">
        <f>'Tabell 2.1–2.2'!AK18/F30</f>
        <v>1209.4654278928997</v>
      </c>
      <c r="J30" s="236">
        <f>'Tabell 2.1–2.2'!AK48</f>
        <v>3097</v>
      </c>
      <c r="K30" s="236">
        <f>'Tabell 2.1–2.2'!AK49</f>
        <v>7030</v>
      </c>
      <c r="M30" s="236">
        <f>'Tabell 3.1–3.3'!AK12</f>
        <v>537</v>
      </c>
      <c r="N30" s="236">
        <f>'Tabell 3.1–3.3'!AK11</f>
        <v>2021</v>
      </c>
      <c r="O30" s="236"/>
      <c r="P30" s="236">
        <f>'Tabell 3.5–3.7'!AK21</f>
        <v>2433</v>
      </c>
      <c r="Q30" s="236">
        <f>'Tabell 3.5–3.7'!AK18</f>
        <v>531</v>
      </c>
      <c r="R30" s="236"/>
      <c r="S30" s="236">
        <f>'Tabell 3.5–3.7'!AK56</f>
        <v>802</v>
      </c>
      <c r="T30" s="236"/>
      <c r="U30" s="236">
        <f>'Tabell 4.1–4.3'!AK11/1000</f>
        <v>121.97135261360005</v>
      </c>
      <c r="V30" s="236">
        <f>'Tabell 4.1–4.3'!AK17/1000</f>
        <v>35.751831860129968</v>
      </c>
      <c r="W30" s="236"/>
      <c r="X30" s="236">
        <f>'Tabell 4.1–4.3'!AK52</f>
        <v>36050.714068450841</v>
      </c>
      <c r="Y30" s="236"/>
      <c r="Z30" s="236">
        <f>'Tabell 4.1–4.3'!AK65</f>
        <v>1488.3398419999999</v>
      </c>
      <c r="AA30" s="236">
        <f>'Tabell 4.1–4.3'!AK66</f>
        <v>2403.0425329999998</v>
      </c>
      <c r="AB30" s="236"/>
      <c r="AC30" s="236">
        <f>'Tabell 4.1–4.3'!AK82</f>
        <v>4606</v>
      </c>
      <c r="AD30" s="236">
        <f>'Tabell 4.1–4.3'!AK83</f>
        <v>10444</v>
      </c>
      <c r="AE30" s="236"/>
      <c r="AF30" s="236">
        <f>'Tabell 4.7'!AK30</f>
        <v>67478.709408035706</v>
      </c>
      <c r="AG30" s="236">
        <f>'Tabell 4.7'!AK61</f>
        <v>21405.755612759873</v>
      </c>
      <c r="AH30" s="236"/>
      <c r="AI30" s="236">
        <f>'Tabell 4.10'!AK34</f>
        <v>3550.386630132452</v>
      </c>
      <c r="AJ30" s="236">
        <f>'Tabell 4.10'!AK68</f>
        <v>1578.651398088394</v>
      </c>
      <c r="AK30" s="236"/>
      <c r="AL30" s="236">
        <f>'Tabell 4.7'!AK58</f>
        <v>4775.0781301999996</v>
      </c>
      <c r="AM30" s="236">
        <f>'Tabell 4.7'!AK56</f>
        <v>11661.321945069043</v>
      </c>
      <c r="AN30" s="236">
        <f>'Tabell 4.7'!AK59</f>
        <v>4969.3555374908346</v>
      </c>
      <c r="AO30" s="236">
        <f>'Tabell 4.9'!AK16</f>
        <v>2319.5878152035643</v>
      </c>
      <c r="AP30" s="236">
        <f t="shared" si="4"/>
        <v>2649.7677222872703</v>
      </c>
      <c r="AQ30" s="236"/>
      <c r="AR30" s="236">
        <f>'Tabell 4.7'!AK45</f>
        <v>13044.403905427876</v>
      </c>
      <c r="AS30" s="236">
        <f t="shared" si="3"/>
        <v>8361.3517073319963</v>
      </c>
      <c r="AT30" s="236"/>
      <c r="AU30" s="236">
        <f>'Tabell 4.7'!AK44</f>
        <v>3210.3275122833261</v>
      </c>
      <c r="AV30" s="236">
        <f>'Tabell 4.7'!AK51</f>
        <v>1759.0280252075088</v>
      </c>
      <c r="AW30" s="236"/>
      <c r="AX30" s="236">
        <f>'Tabell 4.11–4.13'!AK34</f>
        <v>6470.9156278384644</v>
      </c>
      <c r="AY30" s="236">
        <f>'Tabell 4.11–4.13'!AK35</f>
        <v>791.36401089041101</v>
      </c>
      <c r="AZ30" s="236">
        <f>'Tabell 4.11–4.13'!AK36</f>
        <v>5538.0318453913142</v>
      </c>
      <c r="BB30" s="236">
        <f>'Tabell 4.11–4.13'!AK39</f>
        <v>6151.9518630371695</v>
      </c>
      <c r="BC30" s="236">
        <f>'Tabell 4.11–4.13'!AK33-BB30</f>
        <v>6648.3596210830201</v>
      </c>
      <c r="BD30" s="236"/>
      <c r="BE30" s="236">
        <f t="shared" si="1"/>
        <v>48.060954381220782</v>
      </c>
      <c r="BF30" s="236">
        <f t="shared" si="2"/>
        <v>51.939045618779218</v>
      </c>
      <c r="BG30" s="236"/>
      <c r="BH30" s="236">
        <f>'Tabell 4.11–4.13'!AK64</f>
        <v>654.65595000000008</v>
      </c>
      <c r="BI30" s="236"/>
      <c r="BJ30" s="236">
        <f>'Tabell 4.11–4.13'!AK85</f>
        <v>1953</v>
      </c>
      <c r="BL30" s="134">
        <v>2616</v>
      </c>
      <c r="BM30" s="134">
        <v>9456</v>
      </c>
      <c r="BN30" s="250">
        <f>AG30</f>
        <v>21405.755612759873</v>
      </c>
      <c r="BO30" s="134">
        <v>3312</v>
      </c>
      <c r="BP30" s="134"/>
      <c r="BQ30" s="134">
        <v>211399</v>
      </c>
      <c r="BR30" s="134">
        <v>82114</v>
      </c>
      <c r="BS30" s="250">
        <f>'Tabell 4.11–4.13'!AK14*1000</f>
        <v>220945</v>
      </c>
      <c r="BT30" s="134">
        <v>74293</v>
      </c>
      <c r="BU30" s="134"/>
      <c r="BV30" s="134">
        <v>6332</v>
      </c>
      <c r="BW30" s="134">
        <v>3868</v>
      </c>
      <c r="BX30" s="250">
        <f>'Tabell 4.11–4.13'!AK33</f>
        <v>12800.31148412019</v>
      </c>
      <c r="BY30" s="134">
        <v>3695</v>
      </c>
    </row>
    <row r="31" spans="1:77">
      <c r="A31" s="42">
        <v>2017</v>
      </c>
      <c r="B31" s="236">
        <f>'Tabell 1.1 (1)'!Z54</f>
        <v>2036.346</v>
      </c>
      <c r="C31" s="236">
        <f>'Tabell 1.1 (1)'!T54-'Tabell 1.1 (1)'!Z54</f>
        <v>8837.4000000000015</v>
      </c>
      <c r="D31" s="236">
        <f t="shared" si="6"/>
        <v>10873.746000000001</v>
      </c>
      <c r="F31" s="234">
        <v>10.120241999999999</v>
      </c>
      <c r="G31" s="236">
        <f>'Tabell 2.1–2.2'!AM17/F31</f>
        <v>1538.2825825706541</v>
      </c>
      <c r="H31" s="236">
        <f>'Tabell 2.1–2.2'!AM18/F31</f>
        <v>1197.6780792396073</v>
      </c>
      <c r="J31" s="236">
        <f>'Tabell 2.1–2.2'!AM48</f>
        <v>3095</v>
      </c>
      <c r="K31" s="236">
        <f>'Tabell 2.1–2.2'!AM49</f>
        <v>7301</v>
      </c>
      <c r="M31" s="236">
        <f>'Tabell 3.1–3.3'!AM12</f>
        <v>533</v>
      </c>
      <c r="N31" s="236">
        <f>'Tabell 3.1–3.3'!AM11</f>
        <v>2166</v>
      </c>
      <c r="O31" s="236"/>
      <c r="P31" s="236">
        <f>'Tabell 3.5–3.7'!AM21</f>
        <v>2557</v>
      </c>
      <c r="Q31" s="236">
        <f>'Tabell 3.5–3.7'!AM18</f>
        <v>491</v>
      </c>
      <c r="R31" s="236"/>
      <c r="S31" s="236">
        <f>'Tabell 3.5–3.7'!AM56</f>
        <v>798</v>
      </c>
      <c r="T31" s="236"/>
      <c r="U31" s="236">
        <f>'Tabell 4.1–4.3'!AM11/1000</f>
        <v>123.91414920300281</v>
      </c>
      <c r="V31" s="236">
        <f>'Tabell 4.1–4.3'!AM17/1000</f>
        <v>36.469474495</v>
      </c>
      <c r="W31" s="236"/>
      <c r="X31" s="236">
        <f>'Tabell 4.1–4.3'!AM52</f>
        <v>36680.393392788967</v>
      </c>
      <c r="Y31" s="236"/>
      <c r="Z31" s="236">
        <f>'Tabell 4.1–4.3'!AM65</f>
        <v>1440.0590569999999</v>
      </c>
      <c r="AA31" s="236">
        <f>'Tabell 4.1–4.3'!AM66</f>
        <v>2286.772148</v>
      </c>
      <c r="AB31" s="236"/>
      <c r="AC31" s="236">
        <f>'Tabell 4.1–4.3'!AM82</f>
        <v>4682.7294193757079</v>
      </c>
      <c r="AD31" s="236">
        <f>'Tabell 4.1–4.3'!AM83</f>
        <v>10617.98220928352</v>
      </c>
      <c r="AE31" s="236"/>
      <c r="AF31" s="236">
        <f>'Tabell 4.7'!AM30</f>
        <v>69350.257157756132</v>
      </c>
      <c r="AG31" s="236">
        <f>'Tabell 4.7'!AM61</f>
        <v>21838.175764905012</v>
      </c>
      <c r="AH31" s="236"/>
      <c r="AI31" s="236">
        <f>'Tabell 4.10'!AM34</f>
        <v>3590.033631773395</v>
      </c>
      <c r="AJ31" s="236">
        <f>'Tabell 4.10'!AM68</f>
        <v>1496.4171435920334</v>
      </c>
      <c r="AK31" s="236"/>
      <c r="AL31" s="236">
        <f>'Tabell 4.7'!AM58</f>
        <v>5093.2667322999987</v>
      </c>
      <c r="AM31" s="236">
        <f>'Tabell 4.7'!AM56</f>
        <v>11812.197995782111</v>
      </c>
      <c r="AN31" s="236">
        <f>'Tabell 4.7'!AM59</f>
        <v>4932.7110368229041</v>
      </c>
      <c r="AO31" s="236">
        <f>'Tabell 4.9'!AM16</f>
        <v>2438.8236183964832</v>
      </c>
      <c r="AP31" s="236">
        <f>AN31-AO31</f>
        <v>2493.8874184264209</v>
      </c>
      <c r="AQ31" s="236"/>
      <c r="AR31" s="236">
        <f>'Tabell 4.7'!AM45</f>
        <v>13194.789567636635</v>
      </c>
      <c r="AS31" s="236">
        <f t="shared" si="3"/>
        <v>8643.3861972683771</v>
      </c>
      <c r="AT31" s="236"/>
      <c r="AU31" s="236">
        <f>'Tabell 4.7'!AM44</f>
        <v>3220.9610153095341</v>
      </c>
      <c r="AV31" s="236">
        <f>'Tabell 4.7'!AM51</f>
        <v>1711.7500215133703</v>
      </c>
      <c r="AW31" s="236"/>
      <c r="AX31" s="236">
        <f>'Tabell 4.11–4.13'!AM34</f>
        <v>6495.7967607738301</v>
      </c>
      <c r="AY31" s="236">
        <f>'Tabell 4.11–4.13'!AM35</f>
        <v>897.24960299999998</v>
      </c>
      <c r="AZ31" s="236">
        <f>'Tabell 4.11–4.13'!AM36</f>
        <v>5937.566021695774</v>
      </c>
      <c r="BB31" s="236">
        <f>'Tabell 4.11–4.13'!AM39</f>
        <v>6350.7371180672908</v>
      </c>
      <c r="BC31" s="236">
        <f>'Tabell 4.11–4.13'!AM33-BB31</f>
        <v>6979.8752674023144</v>
      </c>
      <c r="BD31" s="236"/>
      <c r="BE31" s="236">
        <f t="shared" si="1"/>
        <v>47.640250383317778</v>
      </c>
      <c r="BF31" s="236">
        <f t="shared" si="2"/>
        <v>52.359749616682222</v>
      </c>
      <c r="BG31" s="236"/>
      <c r="BH31" s="236">
        <f>'Tabell 4.11–4.13'!AM64</f>
        <v>667.60500000000002</v>
      </c>
      <c r="BI31" s="236"/>
      <c r="BJ31" s="236">
        <f>'Tabell 4.11–4.13'!AM85</f>
        <v>1979</v>
      </c>
      <c r="BL31" s="134">
        <v>2653</v>
      </c>
      <c r="BM31" s="134">
        <v>10362</v>
      </c>
      <c r="BN31" s="250">
        <f t="shared" si="5"/>
        <v>21838.175764905012</v>
      </c>
      <c r="BO31" s="134">
        <v>4040</v>
      </c>
      <c r="BP31" s="134"/>
      <c r="BQ31" s="134">
        <v>206566</v>
      </c>
      <c r="BR31" s="134">
        <v>85703</v>
      </c>
      <c r="BS31" s="250">
        <f>'Tabell 4.11–4.13'!AM14*1000</f>
        <v>229816</v>
      </c>
      <c r="BT31" s="134">
        <v>73561</v>
      </c>
      <c r="BU31" s="134"/>
      <c r="BV31" s="134">
        <v>6280</v>
      </c>
      <c r="BW31" s="134">
        <v>4271</v>
      </c>
      <c r="BX31" s="250">
        <f>'Tabell 4.11–4.13'!AM33</f>
        <v>13330.612385469605</v>
      </c>
      <c r="BY31" s="134">
        <v>3584</v>
      </c>
    </row>
    <row r="32" spans="1:77">
      <c r="A32" s="42">
        <v>2018</v>
      </c>
      <c r="B32" s="236">
        <f>'Tabell 1.1 (1)'!Z55</f>
        <v>2046.046</v>
      </c>
      <c r="C32" s="236">
        <f>'Tabell 1.1 (1)'!T55-'Tabell 1.1 (1)'!Z55</f>
        <v>8859.5</v>
      </c>
      <c r="D32" s="236">
        <f t="shared" si="6"/>
        <v>10905.546</v>
      </c>
      <c r="F32" s="234">
        <v>10.230185000000001</v>
      </c>
      <c r="G32" s="236">
        <f>'Tabell 2.1–2.2'!AO17/F32</f>
        <v>1522.102679472561</v>
      </c>
      <c r="H32" s="236">
        <f>'Tabell 2.1–2.2'!AO18/F32</f>
        <v>1187.2504749425352</v>
      </c>
      <c r="J32" s="236">
        <f>'Tabell 2.1–2.2'!AO48</f>
        <v>3098</v>
      </c>
      <c r="K32" s="236">
        <f>'Tabell 2.1–2.2'!AO49</f>
        <v>7364</v>
      </c>
      <c r="M32" s="236">
        <f>'Tabell 3.1–3.3'!AO12</f>
        <v>563</v>
      </c>
      <c r="N32" s="236">
        <f>'Tabell 3.1–3.3'!AO11</f>
        <v>2253</v>
      </c>
      <c r="O32" s="236"/>
      <c r="P32" s="236">
        <f>'Tabell 3.5–3.7'!AO21</f>
        <v>2607</v>
      </c>
      <c r="Q32" s="236">
        <f>'Tabell 3.5–3.7'!AO18</f>
        <v>477</v>
      </c>
      <c r="R32" s="236"/>
      <c r="S32" s="236">
        <f>'Tabell 3.5–3.7'!AO56</f>
        <v>795</v>
      </c>
      <c r="T32" s="236"/>
      <c r="U32" s="236">
        <f>'Tabell 4.1–4.3'!AO11/1000</f>
        <v>128.89418072599969</v>
      </c>
      <c r="V32" s="236">
        <f>'Tabell 4.1–4.3'!AO17/1000</f>
        <v>36.200953296999991</v>
      </c>
      <c r="W32" s="236"/>
      <c r="X32" s="236">
        <f>'Tabell 4.1–4.3'!AO52</f>
        <v>37740.74370429846</v>
      </c>
      <c r="Y32" s="236"/>
      <c r="Z32" s="236">
        <f>'Tabell 4.1–4.3'!AO65</f>
        <v>1574.465876</v>
      </c>
      <c r="AA32" s="236">
        <f>'Tabell 4.1–4.3'!AO66</f>
        <v>2560.7437049999999</v>
      </c>
      <c r="AB32" s="236"/>
      <c r="AC32" s="236">
        <f>'Tabell 4.1–4.3'!AO82</f>
        <v>4693.2650816755622</v>
      </c>
      <c r="AD32" s="236">
        <f>'Tabell 4.1–4.3'!AO83</f>
        <v>10641.871583373766</v>
      </c>
      <c r="AE32" s="236"/>
      <c r="AF32" s="236">
        <f>'Tabell 4.7'!AO30</f>
        <v>69122.791395014734</v>
      </c>
      <c r="AG32" s="236">
        <f>'Tabell 4.7'!AO61</f>
        <v>22794.306069131799</v>
      </c>
      <c r="AH32" s="236"/>
      <c r="AI32" s="236">
        <f>'Tabell 4.10'!AO34</f>
        <v>3782.1758456480761</v>
      </c>
      <c r="AJ32" s="236">
        <f>'Tabell 4.10'!AO68</f>
        <v>1795.3453783407081</v>
      </c>
      <c r="AK32" s="236"/>
      <c r="AL32" s="236">
        <f>'Tabell 4.7'!AO58</f>
        <v>4651.3653973999999</v>
      </c>
      <c r="AM32" s="236">
        <f>'Tabell 4.7'!AO56</f>
        <v>12363.708715902714</v>
      </c>
      <c r="AN32" s="236">
        <f>'Tabell 4.7'!AO59</f>
        <v>5779.2319558290837</v>
      </c>
      <c r="AO32" s="236">
        <f>'Tabell 4.9'!AO16</f>
        <v>2920.8339098155998</v>
      </c>
      <c r="AP32" s="236">
        <f>AN32-AO32</f>
        <v>2858.398046013484</v>
      </c>
      <c r="AQ32" s="236"/>
      <c r="AR32" s="236">
        <f>'Tabell 4.7'!AO45</f>
        <v>13990.985609092026</v>
      </c>
      <c r="AS32" s="236">
        <f t="shared" si="3"/>
        <v>8803.320460039773</v>
      </c>
      <c r="AT32" s="236"/>
      <c r="AU32" s="236">
        <f>'Tabell 4.7'!AO44</f>
        <v>3573.7642934270257</v>
      </c>
      <c r="AV32" s="236">
        <f>'Tabell 4.7'!AO51</f>
        <v>2205.4676624020581</v>
      </c>
      <c r="AW32" s="236"/>
      <c r="AX32" s="236">
        <f>'Tabell 4.11–4.13'!AO34</f>
        <v>6730.9013184367677</v>
      </c>
      <c r="AY32" s="236">
        <f>'Tabell 4.11–4.13'!AO35</f>
        <v>781.09489499999995</v>
      </c>
      <c r="AZ32" s="236">
        <f>'Tabell 4.11–4.13'!AO36</f>
        <v>6034.8020338186989</v>
      </c>
      <c r="BB32" s="236">
        <f>'Tabell 4.11–4.13'!AO39</f>
        <v>6520.5203691610113</v>
      </c>
      <c r="BC32" s="236">
        <f>'Tabell 4.11–4.13'!AO33-BB32</f>
        <v>7026.2778780944554</v>
      </c>
      <c r="BD32" s="236"/>
      <c r="BE32" s="236">
        <f t="shared" si="1"/>
        <v>48.133295042480206</v>
      </c>
      <c r="BF32" s="236">
        <f>100-BE32</f>
        <v>51.866704957519794</v>
      </c>
      <c r="BG32" s="236"/>
      <c r="BH32" s="236">
        <f>'Tabell 4.11–4.13'!AO64</f>
        <v>745.5</v>
      </c>
      <c r="BI32" s="236"/>
      <c r="BJ32" s="236">
        <f>'Tabell 4.11–4.13'!AO85</f>
        <v>1991</v>
      </c>
      <c r="BL32" s="134">
        <v>2594</v>
      </c>
      <c r="BM32" s="134">
        <v>11175</v>
      </c>
      <c r="BN32" s="250">
        <f t="shared" si="5"/>
        <v>22794.306069131799</v>
      </c>
      <c r="BO32" s="134">
        <v>4126</v>
      </c>
      <c r="BP32" s="134"/>
      <c r="BQ32" s="134">
        <v>205307</v>
      </c>
      <c r="BR32" s="134">
        <v>87502</v>
      </c>
      <c r="BS32" s="250">
        <f>'Tabell 4.11–4.13'!AO14*1000</f>
        <v>246490</v>
      </c>
      <c r="BT32" s="134">
        <v>77740</v>
      </c>
      <c r="BU32" s="134"/>
      <c r="BV32" s="134">
        <v>6182</v>
      </c>
      <c r="BW32" s="134">
        <v>4535</v>
      </c>
      <c r="BX32" s="250">
        <f>'Tabell 4.11–4.13'!AO33</f>
        <v>13546.798247255467</v>
      </c>
      <c r="BY32" s="134">
        <v>3722</v>
      </c>
    </row>
    <row r="33" spans="1:79">
      <c r="A33" s="42">
        <v>2019</v>
      </c>
      <c r="B33" s="236">
        <f>'Tabell 1.1 (1)'!Z56</f>
        <v>2049.0459999999998</v>
      </c>
      <c r="C33" s="236">
        <f>'Tabell 1.1 (1)'!T56-'Tabell 1.1 (1)'!Z56</f>
        <v>8849.9599999999991</v>
      </c>
      <c r="D33" s="236">
        <f t="shared" si="6"/>
        <v>10899.005999999999</v>
      </c>
      <c r="F33" s="234">
        <v>10.327589</v>
      </c>
      <c r="G33" s="236">
        <f>'Tabell 2.1–2.2'!AQ$17/F33</f>
        <v>1504.9303375647501</v>
      </c>
      <c r="H33" s="236">
        <f>'Tabell 2.1–2.2'!AQ$18/F33</f>
        <v>1175.7528305977319</v>
      </c>
      <c r="J33" s="236">
        <f>'Tabell 2.1–2.2'!AQ$48</f>
        <v>3532</v>
      </c>
      <c r="K33" s="236">
        <f>'Tabell 2.1–2.2'!AQ$49</f>
        <v>7488</v>
      </c>
      <c r="M33" s="236">
        <f>'Tabell 3.1–3.3'!AQ$12</f>
        <v>561</v>
      </c>
      <c r="N33" s="236">
        <f>'Tabell 3.1–3.3'!AQ$11</f>
        <v>2256</v>
      </c>
      <c r="O33" s="236"/>
      <c r="P33" s="236">
        <f>'Tabell 3.5–3.7'!AQ$21</f>
        <v>2658</v>
      </c>
      <c r="Q33" s="236">
        <f>'Tabell 3.5–3.7'!AQ$18</f>
        <v>438</v>
      </c>
      <c r="R33" s="236"/>
      <c r="S33" s="236">
        <f>'Tabell 3.5–3.7'!AQ$56</f>
        <v>785</v>
      </c>
      <c r="T33" s="236"/>
      <c r="U33" s="236">
        <f>'Tabell 4.1–4.3'!AQ$11/1000</f>
        <v>132.453802</v>
      </c>
      <c r="V33" s="236">
        <f>'Tabell 4.1–4.3'!AQ$17/1000</f>
        <v>35.601416407229351</v>
      </c>
      <c r="W33" s="236"/>
      <c r="X33" s="236">
        <f>'Tabell 4.1–4.3'!AQ$52</f>
        <v>38841.255991031394</v>
      </c>
      <c r="Y33" s="236"/>
      <c r="Z33" s="236">
        <f>'Tabell 4.1–4.3'!AQ$65</f>
        <v>1589.1005660000001</v>
      </c>
      <c r="AA33" s="236">
        <f>'Tabell 4.1–4.3'!AQ$66</f>
        <v>2601.904751</v>
      </c>
      <c r="AB33" s="236"/>
      <c r="AC33" s="236">
        <f>'Tabell 4.1–4.3'!AQ$82</f>
        <v>4612.7045123726302</v>
      </c>
      <c r="AD33" s="236">
        <f>'Tabell 4.1–4.3'!AQ$83</f>
        <v>10459.202328966499</v>
      </c>
      <c r="AE33" s="236"/>
      <c r="AF33" s="236">
        <f>'Tabell 4.7'!AQ$30</f>
        <v>68220.053795176835</v>
      </c>
      <c r="AG33" s="236">
        <f>'Tabell 4.7'!AQ$61</f>
        <v>22222.065674494042</v>
      </c>
      <c r="AH33" s="236"/>
      <c r="AI33" s="236">
        <f>'Tabell 4.10'!AQ$34</f>
        <v>3615.8191853333328</v>
      </c>
      <c r="AJ33" s="236">
        <f>'Tabell 4.10'!AQ$68</f>
        <v>1402.2004917659026</v>
      </c>
      <c r="AK33" s="236"/>
      <c r="AL33" s="236">
        <f>'Tabell 4.7'!AQ$58</f>
        <v>4615.2734579999997</v>
      </c>
      <c r="AM33" s="236">
        <f>'Tabell 4.7'!AQ$56</f>
        <v>11671.378920891377</v>
      </c>
      <c r="AN33" s="236">
        <f>'Tabell 4.7'!AQ$59</f>
        <v>5935.413295602666</v>
      </c>
      <c r="AO33" s="236">
        <f>'Tabell 4.9'!AQ$16</f>
        <v>2981.2379863161045</v>
      </c>
      <c r="AP33" s="236">
        <f>AN33-AO33</f>
        <v>2954.1753092865615</v>
      </c>
      <c r="AQ33" s="236"/>
      <c r="AR33" s="236">
        <f>'Tabell 4.7'!AQ$45</f>
        <v>13572.565699471386</v>
      </c>
      <c r="AS33" s="236">
        <f t="shared" si="3"/>
        <v>8649.4999750226561</v>
      </c>
      <c r="AT33" s="236"/>
      <c r="AU33" s="236">
        <f>'Tabell 4.7'!AQ$44</f>
        <v>3690.2130755096146</v>
      </c>
      <c r="AV33" s="236">
        <f>'Tabell 4.7'!AQ$51</f>
        <v>2245.2002200930519</v>
      </c>
      <c r="AW33" s="236"/>
      <c r="AX33" s="236">
        <f>'Tabell 4.11–4.13'!AQ$34</f>
        <v>6866.0078445885774</v>
      </c>
      <c r="AY33" s="236">
        <f>'Tabell 4.11–4.13'!AQ$35</f>
        <v>1169.688541</v>
      </c>
      <c r="AZ33" s="236">
        <f>'Tabell 4.11–4.13'!AQ$36</f>
        <v>6581.5108485320634</v>
      </c>
      <c r="BB33" s="236">
        <f>'Tabell 4.11–4.13'!AQ$39</f>
        <v>7229.7788959541804</v>
      </c>
      <c r="BC33" s="236">
        <f>'Tabell 4.11–4.13'!AQ$33-BB33</f>
        <v>7387.42833816646</v>
      </c>
      <c r="BD33" s="236"/>
      <c r="BE33" s="236">
        <f t="shared" si="1"/>
        <v>49.460740209510469</v>
      </c>
      <c r="BF33" s="236">
        <f t="shared" si="2"/>
        <v>50.539259790489531</v>
      </c>
      <c r="BG33" s="236"/>
      <c r="BH33" s="236">
        <f>'Tabell 4.11–4.13'!AQ$64</f>
        <v>809.35799999999995</v>
      </c>
      <c r="BI33" s="236"/>
      <c r="BJ33" s="236">
        <f>'Tabell 4.11–4.13'!AQ85</f>
        <v>1895</v>
      </c>
      <c r="BL33" s="134">
        <v>2536</v>
      </c>
      <c r="BM33" s="134">
        <v>10088</v>
      </c>
      <c r="BN33" s="250">
        <f t="shared" si="5"/>
        <v>22222.065674494042</v>
      </c>
      <c r="BO33" s="134">
        <v>4103</v>
      </c>
      <c r="BP33" s="134"/>
      <c r="BQ33" s="134">
        <v>206597</v>
      </c>
      <c r="BR33" s="134">
        <v>92802</v>
      </c>
      <c r="BS33" s="250">
        <f>'Tabell 4.11–4.13'!AQ14*1000</f>
        <v>264603</v>
      </c>
      <c r="BT33" s="134">
        <v>81300</v>
      </c>
      <c r="BU33" s="134"/>
      <c r="BV33" s="134">
        <v>6173</v>
      </c>
      <c r="BW33" s="134">
        <v>4925</v>
      </c>
      <c r="BX33" s="250">
        <f>'Tabell 4.11–4.13'!AQ33</f>
        <v>14617.20723412064</v>
      </c>
      <c r="BY33" s="134">
        <v>3811</v>
      </c>
    </row>
    <row r="34" spans="1:79">
      <c r="A34" s="42">
        <v>2020</v>
      </c>
      <c r="B34" s="236">
        <f>'Tabell 1.1 (1)'!Z57</f>
        <v>2056.2459999999996</v>
      </c>
      <c r="C34" s="236">
        <f>'Tabell 1.1 (1)'!T57-'Tabell 1.1 (1)'!Z57</f>
        <v>8853.1800000000021</v>
      </c>
      <c r="D34" s="236">
        <f t="shared" si="6"/>
        <v>10909.426000000001</v>
      </c>
      <c r="F34" s="234">
        <v>10.379295000000001</v>
      </c>
      <c r="G34" s="236">
        <f>'Tabell 2.1–2.2'!AS$17/F34</f>
        <v>1498.8370597424969</v>
      </c>
      <c r="H34" s="236">
        <f>'Tabell 2.1–2.2'!AS$18/F34</f>
        <v>1172.1260451697344</v>
      </c>
      <c r="J34" s="236">
        <f>'Tabell 2.1–2.2'!AS$48</f>
        <v>3540</v>
      </c>
      <c r="K34" s="236">
        <f>'Tabell 2.1–2.2'!AS$49</f>
        <v>7338</v>
      </c>
      <c r="M34" s="236">
        <f>'Tabell 3.1–3.3'!AU$12</f>
        <v>572</v>
      </c>
      <c r="N34" s="236">
        <f>'Tabell 3.1–3.3'!AS$11</f>
        <v>2405</v>
      </c>
      <c r="O34" s="236"/>
      <c r="P34" s="236">
        <f>'Tabell 3.5–3.7'!AS$21</f>
        <v>2802</v>
      </c>
      <c r="Q34" s="236">
        <f>'Tabell 3.5–3.7'!AS$18</f>
        <v>482</v>
      </c>
      <c r="R34" s="236"/>
      <c r="S34" s="236">
        <f>'Tabell 3.5–3.7'!AS$56</f>
        <v>799</v>
      </c>
      <c r="T34" s="236"/>
      <c r="U34" s="236">
        <f>'Tabell 4.1–4.3'!AS$11/1000</f>
        <v>116.30215112499998</v>
      </c>
      <c r="V34" s="236">
        <f>'Tabell 4.1–4.3'!AS$17/1000</f>
        <v>35.050802857999997</v>
      </c>
      <c r="W34" s="236"/>
      <c r="X34" s="236">
        <f>'Tabell 4.1–4.3'!AS$52</f>
        <v>35943.911951567919</v>
      </c>
      <c r="Y34" s="236"/>
      <c r="Z34" s="236">
        <f>'Tabell 4.1–4.3'!AS$65</f>
        <v>1556.3331070000002</v>
      </c>
      <c r="AA34" s="236">
        <f>'Tabell 4.1–4.3'!AS$66</f>
        <v>2525.6549490000002</v>
      </c>
      <c r="AB34" s="236"/>
      <c r="AC34" s="236">
        <f>'Tabell 4.1–4.3'!AS$82</f>
        <v>4717.9547145398683</v>
      </c>
      <c r="AD34" s="236">
        <f>'Tabell 4.1–4.3'!AS$83</f>
        <v>10697.854763060002</v>
      </c>
      <c r="AE34" s="236"/>
      <c r="AF34" s="236">
        <f>'Tabell 4.7'!AS$30</f>
        <v>69804.992882890889</v>
      </c>
      <c r="AG34" s="236">
        <f>'Tabell 4.7'!AS$61</f>
        <v>22093.897979014626</v>
      </c>
      <c r="AH34" s="236"/>
      <c r="AI34" s="236">
        <f>'Tabell 4.10'!AS$34</f>
        <v>3025.1578562397299</v>
      </c>
      <c r="AJ34" s="236">
        <f>'Tabell 4.10'!AS$68</f>
        <v>1148.97585451186</v>
      </c>
      <c r="AK34" s="236"/>
      <c r="AL34" s="236">
        <f>'Tabell 4.7'!AS$58</f>
        <v>4654.7358264000004</v>
      </c>
      <c r="AM34" s="236">
        <f>'Tabell 4.7'!AS$56</f>
        <v>11449.564487114018</v>
      </c>
      <c r="AN34" s="236">
        <f>'Tabell 4.7'!AS$59</f>
        <v>5989.5976655006116</v>
      </c>
      <c r="AO34" s="236">
        <f>'Tabell 4.9'!AS$16</f>
        <v>3527.2623113161521</v>
      </c>
      <c r="AP34" s="236">
        <f>AN34-AO34</f>
        <v>2462.3353541844594</v>
      </c>
      <c r="AQ34" s="236"/>
      <c r="AR34" s="236">
        <f>'Tabell 4.7'!AS$45</f>
        <v>14070.90634152641</v>
      </c>
      <c r="AS34" s="236">
        <f t="shared" si="3"/>
        <v>8022.9916374882159</v>
      </c>
      <c r="AT34" s="236"/>
      <c r="AU34" s="236">
        <f>'Tabell 4.7'!AS$44</f>
        <v>4283.4072274626487</v>
      </c>
      <c r="AV34" s="236">
        <f>'Tabell 4.7'!AS$51</f>
        <v>1706.1904380379628</v>
      </c>
      <c r="AW34" s="236"/>
      <c r="AX34" s="236">
        <f>'Tabell 4.11–4.13'!AS$34</f>
        <v>3160.8897149347263</v>
      </c>
      <c r="AY34" s="236">
        <f>'Tabell 4.11–4.13'!AS$35</f>
        <v>770.5664000926281</v>
      </c>
      <c r="AZ34" s="236">
        <f>'Tabell 4.11–4.13'!AS$36</f>
        <v>4197.2885496642448</v>
      </c>
      <c r="BB34" s="236">
        <f>'Tabell 4.11–4.13'!AS$39</f>
        <v>4527.436875669825</v>
      </c>
      <c r="BC34" s="236">
        <f>'Tabell 4.11–4.13'!AS$33-BB34</f>
        <v>3601.3077890217737</v>
      </c>
      <c r="BD34" s="236"/>
      <c r="BE34" s="236">
        <f t="shared" si="1"/>
        <v>55.696630444494275</v>
      </c>
      <c r="BF34" s="236">
        <f t="shared" si="2"/>
        <v>44.303369555505725</v>
      </c>
      <c r="BG34" s="236"/>
      <c r="BH34" s="236">
        <f>'Tabell 4.11–4.13'!AS$64</f>
        <v>536.65980999999988</v>
      </c>
      <c r="BI34" s="236"/>
      <c r="BJ34" s="236">
        <f>'Tabell 4.11–4.13'!AS$85</f>
        <v>1151</v>
      </c>
      <c r="BL34" s="134">
        <v>2450</v>
      </c>
      <c r="BM34" s="134">
        <v>10118</v>
      </c>
      <c r="BN34" s="250">
        <f t="shared" si="5"/>
        <v>22093.897979014626</v>
      </c>
      <c r="BO34" s="134">
        <v>4217</v>
      </c>
      <c r="BP34" s="134"/>
      <c r="BQ34" s="134">
        <v>133897</v>
      </c>
      <c r="BR34" s="134">
        <v>59550</v>
      </c>
      <c r="BS34" s="250">
        <f>'Tabell 4.11–4.13'!AS$14*1000</f>
        <v>169163</v>
      </c>
      <c r="BT34" s="134">
        <v>42494</v>
      </c>
      <c r="BU34" s="134"/>
      <c r="BV34" s="134">
        <v>3940</v>
      </c>
      <c r="BW34" s="134">
        <v>2820</v>
      </c>
      <c r="BX34" s="250">
        <f>'Tabell 4.11–4.13'!AS$33</f>
        <v>8128.7446646915987</v>
      </c>
      <c r="BY34" s="134">
        <v>1787</v>
      </c>
    </row>
    <row r="35" spans="1:79">
      <c r="A35" s="42">
        <v>2021</v>
      </c>
      <c r="B35" s="236">
        <f>'Tabell 1.1 (1)'!Z58</f>
        <v>2058.3559999999998</v>
      </c>
      <c r="C35" s="236">
        <f>'Tabell 1.1 (1)'!T58-'Tabell 1.1 (1)'!Z58</f>
        <v>8853.77</v>
      </c>
      <c r="D35" s="236">
        <f t="shared" si="6"/>
        <v>10912.126</v>
      </c>
      <c r="F35" s="234">
        <v>10.452325999999999</v>
      </c>
      <c r="G35" s="236">
        <f>'Tabell 2.1–2.2'!AU$17/F35</f>
        <v>1487.0079635862874</v>
      </c>
      <c r="H35" s="236">
        <f>'Tabell 2.1–2.2'!AU$18/F35</f>
        <v>1162.6332741630908</v>
      </c>
      <c r="J35" s="236">
        <f>'Tabell 2.1–2.2'!AU$48</f>
        <v>3522</v>
      </c>
      <c r="K35" s="236">
        <f>'Tabell 2.1–2.2'!AU$49</f>
        <v>7298</v>
      </c>
      <c r="M35" s="236">
        <f>'Tabell 3.1–3.3'!AS$12</f>
        <v>569</v>
      </c>
      <c r="N35" s="236">
        <f>'Tabell 3.1–3.3'!AU$11</f>
        <v>2472</v>
      </c>
      <c r="O35" s="236"/>
      <c r="P35" s="236">
        <f>'Tabell 3.5–3.7'!AU$21</f>
        <v>2860</v>
      </c>
      <c r="Q35" s="236">
        <f>'Tabell 3.5–3.7'!AU$18</f>
        <v>530</v>
      </c>
      <c r="R35" s="236"/>
      <c r="S35" s="236">
        <f>'Tabell 3.5–3.7'!AU$56</f>
        <v>777</v>
      </c>
      <c r="U35" s="236">
        <f>'Tabell 4.1–4.3'!AU$11/1000</f>
        <v>122.86523425699997</v>
      </c>
      <c r="V35" s="236">
        <f>'Tabell 4.1–4.3'!AU$17/1000</f>
        <v>36.316247604009959</v>
      </c>
      <c r="W35" s="236"/>
      <c r="X35" s="236">
        <f>'Tabell 4.1–4.3'!AU$52</f>
        <v>37890.85754993766</v>
      </c>
      <c r="Y35" s="236"/>
      <c r="Z35" s="236">
        <f>'Tabell 4.1–4.3'!AU$65</f>
        <v>1603.894769</v>
      </c>
      <c r="AA35" s="236">
        <f>'Tabell 4.1–4.3'!AU$66</f>
        <v>2634.0333900000001</v>
      </c>
      <c r="AB35" s="236"/>
      <c r="AC35" s="236">
        <f>'Tabell 4.1–4.3'!AU$82</f>
        <v>4586</v>
      </c>
      <c r="AD35" s="236">
        <f>'Tabell 4.1–4.3'!AU$83</f>
        <v>10695</v>
      </c>
      <c r="AF35" s="236">
        <f>'Tabell 4.7'!AU$30</f>
        <v>72458.295917848605</v>
      </c>
      <c r="AG35" s="236">
        <f>'Tabell 4.7'!AU$61</f>
        <v>23448.887165486929</v>
      </c>
      <c r="AH35" s="236"/>
      <c r="AI35" s="236">
        <f>'Tabell 4.10'!AU$34</f>
        <v>3536.0419120660004</v>
      </c>
      <c r="AJ35" s="236">
        <f>'Tabell 4.10'!AU$68</f>
        <v>1816.009002763604</v>
      </c>
      <c r="AK35" s="236"/>
      <c r="AL35" s="236">
        <f>'Tabell 4.7'!AU$58</f>
        <v>4703.1136186000003</v>
      </c>
      <c r="AM35" s="236">
        <f>'Tabell 4.7'!AU$56</f>
        <v>12363.864850469799</v>
      </c>
      <c r="AN35" s="236">
        <f>'Tabell 4.7'!AU$59</f>
        <v>6381.9086964171302</v>
      </c>
      <c r="AO35" s="236">
        <f>'Tabell 4.9'!AU$16</f>
        <v>3718.4173389920802</v>
      </c>
      <c r="AP35" s="236">
        <f>AN35-AO35</f>
        <v>2663.49135742505</v>
      </c>
      <c r="AQ35" s="236"/>
      <c r="AR35" s="236">
        <f>'Tabell 4.7'!AU$45</f>
        <v>14445.08150090323</v>
      </c>
      <c r="AS35" s="236">
        <f t="shared" ref="AS35" si="7">AG35-AR35</f>
        <v>9003.8056645836987</v>
      </c>
      <c r="AT35" s="236"/>
      <c r="AU35" s="236">
        <f>'Tabell 4.7'!AU$44</f>
        <v>4138.6586662665104</v>
      </c>
      <c r="AV35" s="236">
        <f>'Tabell 4.7'!AU$51</f>
        <v>2243.2500301506202</v>
      </c>
      <c r="AX35" s="236">
        <f>'Tabell 4.11–4.13'!AU$34</f>
        <v>3611.1926536951523</v>
      </c>
      <c r="AY35" s="236">
        <f>'Tabell 4.11–4.13'!AU$35</f>
        <v>543.86694086389343</v>
      </c>
      <c r="AZ35" s="236">
        <f>'Tabell 4.11–4.13'!AU$36</f>
        <v>3872.4297029911068</v>
      </c>
      <c r="BB35" s="236">
        <f>'Tabell 4.11–4.13'!AU$39</f>
        <v>4275.3578441775808</v>
      </c>
      <c r="BC35" s="236">
        <f>'Tabell 4.11–4.13'!AU$33-BB35</f>
        <v>3752.1314533725717</v>
      </c>
      <c r="BD35" s="236"/>
      <c r="BE35" s="236">
        <f t="shared" ref="BE35" si="8">BB35/(BB35+BC35)*100</f>
        <v>53.258966604693505</v>
      </c>
      <c r="BF35" s="236">
        <f t="shared" ref="BF35" si="9">100-BE35</f>
        <v>46.741033395306495</v>
      </c>
      <c r="BG35" s="236"/>
      <c r="BH35" s="236">
        <f>'Tabell 4.11–4.13'!AU$64</f>
        <v>455.43210000000005</v>
      </c>
      <c r="BI35" s="236"/>
      <c r="BJ35" s="236">
        <f>'Tabell 4.11–4.13'!AU$85</f>
        <v>1137</v>
      </c>
      <c r="BL35" s="134">
        <v>1976</v>
      </c>
      <c r="BM35" s="134">
        <v>10807</v>
      </c>
      <c r="BN35" s="250">
        <f t="shared" si="5"/>
        <v>23448.887165486929</v>
      </c>
      <c r="BO35" s="134">
        <v>4521</v>
      </c>
      <c r="BQ35" s="134">
        <v>133735</v>
      </c>
      <c r="BR35" s="134">
        <v>55008</v>
      </c>
      <c r="BS35" s="250">
        <f>'Tabell 4.11–4.13'!AU$14*1000</f>
        <v>164490</v>
      </c>
      <c r="BT35" s="134">
        <v>39744</v>
      </c>
      <c r="BU35" s="134"/>
      <c r="BV35" s="134">
        <v>4177</v>
      </c>
      <c r="BW35" s="134">
        <v>2903</v>
      </c>
      <c r="BX35" s="250">
        <f>'Tabell 4.11–4.13'!AU$33</f>
        <v>8027.4892975501525</v>
      </c>
      <c r="BY35" s="134">
        <v>1597</v>
      </c>
      <c r="CA35" s="237" t="s">
        <v>1161</v>
      </c>
    </row>
    <row r="36" spans="1:79">
      <c r="F36" s="313"/>
      <c r="AG36" s="236"/>
      <c r="BX36" s="250"/>
    </row>
    <row r="37" spans="1:79">
      <c r="F37" s="312"/>
    </row>
    <row r="39" spans="1:79">
      <c r="G39" s="65"/>
      <c r="H39" s="65"/>
      <c r="J39" s="65"/>
    </row>
  </sheetData>
  <mergeCells count="19">
    <mergeCell ref="AR2:AS2"/>
    <mergeCell ref="U2:V2"/>
    <mergeCell ref="Z2:AA2"/>
    <mergeCell ref="AC2:AD2"/>
    <mergeCell ref="AF2:AG2"/>
    <mergeCell ref="AI2:AJ2"/>
    <mergeCell ref="AL2:AP2"/>
    <mergeCell ref="P2:Q2"/>
    <mergeCell ref="B2:D2"/>
    <mergeCell ref="J2:K2"/>
    <mergeCell ref="F2:H2"/>
    <mergeCell ref="M2:N2"/>
    <mergeCell ref="AX2:AZ2"/>
    <mergeCell ref="BL2:BO2"/>
    <mergeCell ref="BQ2:BT2"/>
    <mergeCell ref="BV2:BY2"/>
    <mergeCell ref="AU2:AV2"/>
    <mergeCell ref="BB2:BC2"/>
    <mergeCell ref="BE2:BF2"/>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175"/>
  <sheetViews>
    <sheetView zoomScale="66" zoomScaleNormal="66" workbookViewId="0">
      <pane ySplit="1" topLeftCell="A2" activePane="bottomLeft" state="frozen"/>
      <selection pane="bottomLeft"/>
    </sheetView>
  </sheetViews>
  <sheetFormatPr defaultColWidth="9.109375" defaultRowHeight="14.4"/>
  <cols>
    <col min="1" max="1" width="13.6640625" style="244" bestFit="1" customWidth="1"/>
    <col min="2" max="2" width="21" style="244" customWidth="1"/>
    <col min="3" max="3" width="5.44140625" style="237" bestFit="1" customWidth="1"/>
    <col min="4" max="4" width="18.44140625" style="237" bestFit="1" customWidth="1"/>
    <col min="5" max="5" width="12.5546875" style="237" bestFit="1" customWidth="1"/>
    <col min="6" max="6" width="3.44140625" style="237" customWidth="1"/>
    <col min="7" max="7" width="12.5546875" style="237" bestFit="1" customWidth="1"/>
    <col min="8" max="8" width="3.44140625" style="237" customWidth="1"/>
    <col min="9" max="9" width="12.5546875" style="237" bestFit="1" customWidth="1"/>
    <col min="10" max="10" width="3.44140625" style="237" customWidth="1"/>
    <col min="11" max="11" width="12.5546875" style="237" bestFit="1" customWidth="1"/>
    <col min="12" max="12" width="3.44140625" style="237" customWidth="1"/>
    <col min="13" max="13" width="10.6640625" style="237" customWidth="1"/>
    <col min="14" max="14" width="3.44140625" style="237" customWidth="1"/>
    <col min="15" max="15" width="10.6640625" style="237" customWidth="1"/>
    <col min="16" max="16" width="3.44140625" style="237" customWidth="1"/>
    <col min="17" max="17" width="10.6640625" style="237" customWidth="1"/>
    <col min="18" max="18" width="3.44140625" style="237" customWidth="1"/>
    <col min="19" max="19" width="10.6640625" style="237" customWidth="1"/>
    <col min="20" max="20" width="3.44140625" style="237" customWidth="1"/>
    <col min="21" max="21" width="10.6640625" style="237" customWidth="1"/>
    <col min="22" max="22" width="3.44140625" style="237" customWidth="1"/>
    <col min="23" max="23" width="10.6640625" style="237" customWidth="1"/>
    <col min="24" max="24" width="3.44140625" style="237" customWidth="1"/>
    <col min="25" max="25" width="10.6640625" style="237" customWidth="1"/>
    <col min="26" max="26" width="8.109375" style="237" customWidth="1"/>
    <col min="27" max="27" width="46" style="237" bestFit="1" customWidth="1"/>
    <col min="28" max="28" width="9.109375" style="237"/>
    <col min="29" max="29" width="185" style="237" customWidth="1"/>
    <col min="30" max="16384" width="9.109375" style="237"/>
  </cols>
  <sheetData>
    <row r="1" spans="1:33">
      <c r="A1" s="323" t="s">
        <v>873</v>
      </c>
      <c r="B1" s="324" t="s">
        <v>874</v>
      </c>
      <c r="C1" s="325" t="s">
        <v>875</v>
      </c>
      <c r="D1" s="325" t="s">
        <v>876</v>
      </c>
      <c r="E1" s="326">
        <v>2010</v>
      </c>
      <c r="F1" s="327"/>
      <c r="G1" s="326">
        <v>2011</v>
      </c>
      <c r="H1" s="327"/>
      <c r="I1" s="326">
        <v>2012</v>
      </c>
      <c r="J1" s="327"/>
      <c r="K1" s="326">
        <v>2013</v>
      </c>
      <c r="L1" s="327"/>
      <c r="M1" s="326">
        <v>2014</v>
      </c>
      <c r="N1" s="327"/>
      <c r="O1" s="326">
        <v>2015</v>
      </c>
      <c r="P1" s="327"/>
      <c r="Q1" s="326">
        <v>2016</v>
      </c>
      <c r="R1" s="327"/>
      <c r="S1" s="326">
        <v>2017</v>
      </c>
      <c r="T1" s="327"/>
      <c r="U1" s="326">
        <v>2018</v>
      </c>
      <c r="V1" s="327"/>
      <c r="W1" s="326">
        <v>2019</v>
      </c>
      <c r="X1" s="326"/>
      <c r="Y1" s="402">
        <v>2020</v>
      </c>
      <c r="Z1" s="328"/>
      <c r="AA1" s="329" t="s">
        <v>877</v>
      </c>
      <c r="AB1" s="330"/>
      <c r="AC1" s="330" t="s">
        <v>878</v>
      </c>
      <c r="AD1" s="330"/>
      <c r="AE1" s="330"/>
      <c r="AF1" s="330"/>
      <c r="AG1" s="330"/>
    </row>
    <row r="2" spans="1:33">
      <c r="A2" s="331" t="s">
        <v>1237</v>
      </c>
      <c r="B2" s="332" t="s">
        <v>879</v>
      </c>
      <c r="C2" s="333"/>
      <c r="D2" s="334"/>
      <c r="E2" s="335">
        <f>ROUND('Tabell 2.1–2.2'!Y17,0)</f>
        <v>15497</v>
      </c>
      <c r="F2" s="335"/>
      <c r="G2" s="335">
        <f>ROUND('Tabell 2.1–2.2'!AA17,0)</f>
        <v>15601</v>
      </c>
      <c r="H2" s="335"/>
      <c r="I2" s="335">
        <f>ROUND('Tabell 2.1–2.2'!AC17,0)</f>
        <v>15633</v>
      </c>
      <c r="J2" s="335"/>
      <c r="K2" s="335">
        <f>ROUND('Tabell 2.1–2.2'!AE17,0)</f>
        <v>15468</v>
      </c>
      <c r="L2" s="335"/>
      <c r="M2" s="335">
        <f>ROUND('Tabell 2.1–2.2'!AG17,0)</f>
        <v>15370</v>
      </c>
      <c r="N2" s="335"/>
      <c r="O2" s="335">
        <f>ROUND('Tabell 2.1–2.2'!AI17,0)</f>
        <v>15424</v>
      </c>
      <c r="P2" s="335"/>
      <c r="Q2" s="335">
        <f>ROUND('Tabell 2.1–2.2'!AK17,0)</f>
        <v>15459</v>
      </c>
      <c r="R2" s="335"/>
      <c r="S2" s="335">
        <f>ROUND('Tabell 2.1–2.2'!AM17,0)</f>
        <v>15568</v>
      </c>
      <c r="T2" s="335"/>
      <c r="U2" s="335">
        <f>ROUND('Tabell 2.1–2.2'!AO17,0)</f>
        <v>15571</v>
      </c>
      <c r="V2" s="335"/>
      <c r="W2" s="335">
        <f>ROUND('Tabell 2.1–2.2'!AQ17,0)</f>
        <v>15542</v>
      </c>
      <c r="X2" s="335"/>
      <c r="Y2" s="335">
        <f>ROUND('Tabell 2.1–2.2'!AS17,0)</f>
        <v>15557</v>
      </c>
      <c r="Z2" s="239"/>
      <c r="AA2" s="336"/>
      <c r="AC2" s="237" t="str">
        <f t="shared" ref="AC2:AC33" si="0">CONCATENATE(B2,",",A2,",",Y2,",",C2,",",D2)</f>
        <v>Railway Transport/Infrastructure/Tracks/Length operated at 31.12 (km)/Total,A-I-01-05-0_0-0_0,15557,,</v>
      </c>
      <c r="AD2" s="239"/>
    </row>
    <row r="3" spans="1:33">
      <c r="A3" s="331" t="s">
        <v>1238</v>
      </c>
      <c r="B3" s="332" t="s">
        <v>880</v>
      </c>
      <c r="C3" s="334"/>
      <c r="D3" s="334"/>
      <c r="E3" s="335">
        <f>ROUND(E2-E4,0)</f>
        <v>3984</v>
      </c>
      <c r="F3" s="335"/>
      <c r="G3" s="335">
        <f>ROUND(G2-G4,0)</f>
        <v>3861</v>
      </c>
      <c r="H3" s="335"/>
      <c r="I3" s="335">
        <f>ROUND(I2-I4,0)</f>
        <v>3681</v>
      </c>
      <c r="J3" s="335"/>
      <c r="K3" s="335">
        <f>ROUND(K2-K4,0)</f>
        <v>3433</v>
      </c>
      <c r="L3" s="335"/>
      <c r="M3" s="335">
        <f>ROUND(M2-M4,0)</f>
        <v>3231</v>
      </c>
      <c r="N3" s="335"/>
      <c r="O3" s="335">
        <f>ROUND(O2-O4,0)</f>
        <v>3280</v>
      </c>
      <c r="P3" s="335"/>
      <c r="Q3" s="335">
        <f>ROUND(Q2-Q4,0)</f>
        <v>3370</v>
      </c>
      <c r="R3" s="335"/>
      <c r="S3" s="335">
        <f>ROUND(S2-S4,0)</f>
        <v>3447</v>
      </c>
      <c r="T3" s="335"/>
      <c r="U3" s="335">
        <f>ROUND(U2-U4,0)</f>
        <v>3425</v>
      </c>
      <c r="V3" s="335"/>
      <c r="W3" s="335">
        <f t="shared" ref="W3:Y3" si="1">ROUND(W2-W4,0)</f>
        <v>3399</v>
      </c>
      <c r="X3" s="335"/>
      <c r="Y3" s="335">
        <f t="shared" si="1"/>
        <v>3391</v>
      </c>
      <c r="AA3" s="336"/>
      <c r="AC3" s="237" t="str">
        <f t="shared" si="0"/>
        <v>Railway Transport/Infrastructure/Tracks/Length operated at 31.12 (km)/By type of traction/Non electrified,A-I-01-05-23_1-0_0,3391,,</v>
      </c>
      <c r="AD3" s="239"/>
    </row>
    <row r="4" spans="1:33">
      <c r="A4" s="331" t="s">
        <v>1239</v>
      </c>
      <c r="B4" s="332" t="s">
        <v>881</v>
      </c>
      <c r="C4" s="334"/>
      <c r="D4" s="334"/>
      <c r="E4" s="335">
        <f>ROUND('Tabell 2.1–2.2'!Y18,0)</f>
        <v>11513</v>
      </c>
      <c r="F4" s="335"/>
      <c r="G4" s="335">
        <f>ROUND('Tabell 2.1–2.2'!AA18,0)</f>
        <v>11740</v>
      </c>
      <c r="H4" s="335"/>
      <c r="I4" s="335">
        <f>ROUND('Tabell 2.1–2.2'!AC18,0)</f>
        <v>11952</v>
      </c>
      <c r="J4" s="335"/>
      <c r="K4" s="335">
        <f>ROUND('Tabell 2.1–2.2'!AE18,0)</f>
        <v>12035</v>
      </c>
      <c r="L4" s="335"/>
      <c r="M4" s="335">
        <f>ROUND('Tabell 2.1–2.2'!AG18,0)</f>
        <v>12139</v>
      </c>
      <c r="N4" s="335"/>
      <c r="O4" s="335">
        <f>ROUND('Tabell 2.1–2.2'!AI18,0)</f>
        <v>12144</v>
      </c>
      <c r="P4" s="335"/>
      <c r="Q4" s="335">
        <f>ROUND('Tabell 2.1–2.2'!AK18,0)</f>
        <v>12089</v>
      </c>
      <c r="R4" s="335"/>
      <c r="S4" s="335">
        <f>ROUND('Tabell 2.1–2.2'!AM18,0)</f>
        <v>12121</v>
      </c>
      <c r="T4" s="335"/>
      <c r="U4" s="335">
        <f>ROUND('Tabell 2.1–2.2'!AO18,0)</f>
        <v>12146</v>
      </c>
      <c r="V4" s="335"/>
      <c r="W4" s="335">
        <f>ROUND('Tabell 2.1–2.2'!AQ18,0)</f>
        <v>12143</v>
      </c>
      <c r="X4" s="335"/>
      <c r="Y4" s="335">
        <f>ROUND('Tabell 2.1–2.2'!AS18,0)</f>
        <v>12166</v>
      </c>
      <c r="AA4" s="336"/>
      <c r="AC4" s="237" t="str">
        <f t="shared" si="0"/>
        <v>Railway Transport/Infrastructure/Tracks/Length operated at 31.12 (km)/By type of traction/Electrified,A-I-01-05-23_2-0_0,12166,,</v>
      </c>
      <c r="AD4" s="239"/>
    </row>
    <row r="5" spans="1:33">
      <c r="A5" s="331" t="s">
        <v>1240</v>
      </c>
      <c r="B5" s="332" t="s">
        <v>882</v>
      </c>
      <c r="C5" s="334"/>
      <c r="D5" s="334"/>
      <c r="E5" s="335">
        <f>ROUND('Tabell 2.1–2.2'!Y26,0)</f>
        <v>11160</v>
      </c>
      <c r="F5" s="335"/>
      <c r="G5" s="335">
        <f>ROUND('Tabell 2.1–2.2'!AA26,0)</f>
        <v>11206</v>
      </c>
      <c r="H5" s="335"/>
      <c r="I5" s="335">
        <f>ROUND('Tabell 2.1–2.2'!AC26,0)</f>
        <v>11136</v>
      </c>
      <c r="J5" s="335"/>
      <c r="K5" s="335">
        <f>ROUND('Tabell 2.1–2.2'!AE26,0)</f>
        <v>10957</v>
      </c>
      <c r="L5" s="335"/>
      <c r="M5" s="335">
        <f>ROUND('Tabell 2.1–2.2'!AG26,0)</f>
        <v>10881</v>
      </c>
      <c r="N5" s="335"/>
      <c r="O5" s="335">
        <f>ROUND('Tabell 2.1–2.2'!AI26,0)</f>
        <v>10908</v>
      </c>
      <c r="P5" s="335"/>
      <c r="Q5" s="335">
        <f>ROUND('Tabell 2.1–2.2'!AK26,0)</f>
        <v>10882</v>
      </c>
      <c r="R5" s="335"/>
      <c r="S5" s="335">
        <f>ROUND('Tabell 2.1–2.2'!AM26,0)</f>
        <v>10874</v>
      </c>
      <c r="T5" s="335"/>
      <c r="U5" s="335">
        <f>ROUND('Tabell 2.1–2.2'!AO26,0)</f>
        <v>10906</v>
      </c>
      <c r="V5" s="335"/>
      <c r="W5" s="335">
        <f>ROUND('Tabell 2.1–2.2'!AQ26,0)</f>
        <v>10899</v>
      </c>
      <c r="X5" s="335"/>
      <c r="Y5" s="335">
        <f>ROUND('Tabell 2.1–2.2'!AS26,0)</f>
        <v>10909</v>
      </c>
      <c r="AA5" s="336"/>
      <c r="AC5" s="237" t="str">
        <f t="shared" si="0"/>
        <v>Railway Transport/Infrastructure/Lines - Length operated/Length operated at 31.12 (km)/Total,A-I-02-05-0_0-0_0,10909,,</v>
      </c>
      <c r="AD5" s="239"/>
    </row>
    <row r="6" spans="1:33">
      <c r="A6" s="331" t="s">
        <v>1241</v>
      </c>
      <c r="B6" s="332" t="s">
        <v>883</v>
      </c>
      <c r="C6" s="334" t="s">
        <v>884</v>
      </c>
      <c r="D6" s="334"/>
      <c r="E6" s="337"/>
      <c r="F6" s="337"/>
      <c r="G6" s="337"/>
      <c r="H6" s="337"/>
      <c r="I6" s="337"/>
      <c r="J6" s="337"/>
      <c r="K6" s="337"/>
      <c r="L6" s="337"/>
      <c r="M6" s="337"/>
      <c r="N6" s="337"/>
      <c r="O6" s="337"/>
      <c r="P6" s="337"/>
      <c r="Q6" s="337"/>
      <c r="R6" s="337"/>
      <c r="S6" s="337"/>
      <c r="T6" s="337"/>
      <c r="U6" s="337"/>
      <c r="V6" s="337"/>
      <c r="W6" s="337"/>
      <c r="X6" s="337"/>
      <c r="Y6" s="337"/>
      <c r="AA6" s="336"/>
      <c r="AC6" s="237" t="str">
        <f t="shared" si="0"/>
        <v>Railway Transport/Infrastructure/Lines - Length operated/Length operated at 31.12 (km)/By nature of traffic/Passenger only,A-I-02-05-11_1-0_0,,:,</v>
      </c>
      <c r="AD6" s="239"/>
    </row>
    <row r="7" spans="1:33">
      <c r="A7" s="331" t="s">
        <v>1242</v>
      </c>
      <c r="B7" s="332" t="s">
        <v>885</v>
      </c>
      <c r="C7" s="334" t="s">
        <v>884</v>
      </c>
      <c r="D7" s="334"/>
      <c r="E7" s="337"/>
      <c r="F7" s="337"/>
      <c r="G7" s="337"/>
      <c r="H7" s="337"/>
      <c r="I7" s="337"/>
      <c r="J7" s="337"/>
      <c r="K7" s="337"/>
      <c r="L7" s="337"/>
      <c r="M7" s="337"/>
      <c r="N7" s="337"/>
      <c r="O7" s="337"/>
      <c r="P7" s="337"/>
      <c r="Q7" s="337"/>
      <c r="R7" s="337"/>
      <c r="S7" s="337"/>
      <c r="T7" s="337"/>
      <c r="U7" s="337"/>
      <c r="V7" s="337"/>
      <c r="W7" s="337"/>
      <c r="X7" s="337"/>
      <c r="Y7" s="337"/>
      <c r="AA7" s="336"/>
      <c r="AC7" s="237" t="str">
        <f t="shared" si="0"/>
        <v>Railway Transport/Infrastructure/Lines - Length operated/Length operated at 31.12 (km)/By nature of traffic/Freight only,A-I-02-05-11_2-0_0,,:,</v>
      </c>
      <c r="AD7" s="239"/>
    </row>
    <row r="8" spans="1:33">
      <c r="A8" s="331" t="s">
        <v>1243</v>
      </c>
      <c r="B8" s="332" t="s">
        <v>886</v>
      </c>
      <c r="C8" s="334" t="s">
        <v>884</v>
      </c>
      <c r="D8" s="334"/>
      <c r="E8" s="337"/>
      <c r="F8" s="337"/>
      <c r="G8" s="337"/>
      <c r="H8" s="337"/>
      <c r="I8" s="337"/>
      <c r="J8" s="337"/>
      <c r="K8" s="337"/>
      <c r="L8" s="337"/>
      <c r="M8" s="337"/>
      <c r="N8" s="337"/>
      <c r="O8" s="337"/>
      <c r="P8" s="337"/>
      <c r="Q8" s="337"/>
      <c r="R8" s="337"/>
      <c r="S8" s="337"/>
      <c r="T8" s="337"/>
      <c r="U8" s="337"/>
      <c r="V8" s="337"/>
      <c r="W8" s="337"/>
      <c r="X8" s="337"/>
      <c r="Y8" s="337"/>
      <c r="AA8" s="336"/>
      <c r="AC8" s="237" t="str">
        <f t="shared" si="0"/>
        <v>Railway Transport/Infrastructure/Lines - Length operated/Length operated at 31.12 (km)/By nature of traffic/Passenger and freight,A-I-02-05-11_3-0_0,,:,</v>
      </c>
      <c r="AD8" s="239"/>
    </row>
    <row r="9" spans="1:33">
      <c r="A9" s="331" t="s">
        <v>1244</v>
      </c>
      <c r="B9" s="332" t="s">
        <v>887</v>
      </c>
      <c r="C9" s="334"/>
      <c r="D9" s="334"/>
      <c r="E9" s="335">
        <f>ROUND('Tabell 2.1–2.2'!Y22,0)</f>
        <v>9296</v>
      </c>
      <c r="F9" s="335"/>
      <c r="G9" s="335">
        <f>ROUND('Tabell 2.1–2.2'!AA22,0)</f>
        <v>9321</v>
      </c>
      <c r="H9" s="335"/>
      <c r="I9" s="335">
        <f>ROUND('Tabell 2.1–2.2'!AC22,0)</f>
        <v>9190</v>
      </c>
      <c r="J9" s="335"/>
      <c r="K9" s="335">
        <f>ROUND('Tabell 2.1–2.2'!AE22,0)</f>
        <v>9010</v>
      </c>
      <c r="L9" s="335"/>
      <c r="M9" s="335">
        <f>ROUND('Tabell 2.1–2.2'!AG22,0)</f>
        <v>8932</v>
      </c>
      <c r="N9" s="335"/>
      <c r="O9" s="335">
        <f>ROUND('Tabell 2.1–2.2'!AI22,0)</f>
        <v>8945</v>
      </c>
      <c r="P9" s="335"/>
      <c r="Q9" s="335">
        <f>ROUND('Tabell 2.1–2.2'!AK22,0)</f>
        <v>8872</v>
      </c>
      <c r="R9" s="335"/>
      <c r="S9" s="335">
        <f>ROUND('Tabell 2.1–2.2'!AM22,0)</f>
        <v>8837</v>
      </c>
      <c r="T9" s="335"/>
      <c r="U9" s="335">
        <f>ROUND('Tabell 2.1–2.2'!AO22,0)</f>
        <v>8860</v>
      </c>
      <c r="V9" s="335"/>
      <c r="W9" s="335">
        <f>ROUND('Tabell 2.1–2.2'!AQ22,0)</f>
        <v>8850</v>
      </c>
      <c r="X9" s="335"/>
      <c r="Y9" s="335">
        <f>ROUND('Tabell 2.1–2.2'!AS22,0)</f>
        <v>8853</v>
      </c>
      <c r="AA9" s="336"/>
      <c r="AC9" s="237" t="str">
        <f t="shared" si="0"/>
        <v>Railway Transport/Infrastructure/Lines - Length operated/Length operated at 31.12 (km)/By number of tracks/Single track,A-I-02-05-12_1-0_0,8853,,</v>
      </c>
      <c r="AD9" s="239"/>
    </row>
    <row r="10" spans="1:33">
      <c r="A10" s="331" t="s">
        <v>1245</v>
      </c>
      <c r="B10" s="332" t="s">
        <v>888</v>
      </c>
      <c r="C10" s="334"/>
      <c r="D10" s="334"/>
      <c r="E10" s="335">
        <f>ROUND('Tabell 2.1–2.2'!Y24,0)</f>
        <v>1865</v>
      </c>
      <c r="F10" s="335"/>
      <c r="G10" s="335">
        <f>ROUND('Tabell 2.1–2.2'!AA24,0)</f>
        <v>1886</v>
      </c>
      <c r="H10" s="335"/>
      <c r="I10" s="335">
        <f>ROUND('Tabell 2.1–2.2'!AC24,0)</f>
        <v>1947</v>
      </c>
      <c r="J10" s="335"/>
      <c r="K10" s="335">
        <f>ROUND('Tabell 2.1–2.2'!AE24,0)</f>
        <v>1948</v>
      </c>
      <c r="L10" s="335"/>
      <c r="M10" s="335">
        <f>ROUND('Tabell 2.1–2.2'!AG24,0)</f>
        <v>1950</v>
      </c>
      <c r="N10" s="335"/>
      <c r="O10" s="335">
        <f>ROUND('Tabell 2.1–2.2'!AI24,0)</f>
        <v>1964</v>
      </c>
      <c r="P10" s="335"/>
      <c r="Q10" s="335">
        <f>ROUND('Tabell 2.1–2.2'!AK24,0)</f>
        <v>2009</v>
      </c>
      <c r="R10" s="335"/>
      <c r="S10" s="335">
        <f>ROUND('Tabell 2.1–2.2'!AM24,0)</f>
        <v>2036</v>
      </c>
      <c r="T10" s="335"/>
      <c r="U10" s="335">
        <f>ROUND('Tabell 2.1–2.2'!AO24,0)</f>
        <v>2046</v>
      </c>
      <c r="V10" s="335"/>
      <c r="W10" s="335">
        <f>ROUND('Tabell 2.1–2.2'!AQ24,0)</f>
        <v>2049</v>
      </c>
      <c r="X10" s="335"/>
      <c r="Y10" s="335">
        <f>ROUND('Tabell 2.1–2.2'!AS24,0)</f>
        <v>2056</v>
      </c>
      <c r="AA10" s="336"/>
      <c r="AC10" s="237" t="str">
        <f t="shared" si="0"/>
        <v>Railway Transport/Infrastructure/Lines - Length operated/Length operated at 31.12 (km)/By number of tracks/Double track or more,A-I-02-05-12_2-0_0,2056,,</v>
      </c>
      <c r="AD10" s="239"/>
    </row>
    <row r="11" spans="1:33">
      <c r="A11" s="331" t="s">
        <v>1246</v>
      </c>
      <c r="B11" s="332" t="s">
        <v>889</v>
      </c>
      <c r="C11" s="334"/>
      <c r="D11" s="334"/>
      <c r="E11" s="335">
        <f>ROUND('Tabell 2.1–2.2'!Y26-'Tabell 2.1–2.2'!Y25-'Tabell 2.1–2.2'!Y23,0)</f>
        <v>11095</v>
      </c>
      <c r="F11" s="335"/>
      <c r="G11" s="335">
        <f>ROUND('Tabell 2.1–2.2'!AA26-'Tabell 2.1–2.2'!AA25-'Tabell 2.1–2.2'!AA23,0)</f>
        <v>11141</v>
      </c>
      <c r="H11" s="335"/>
      <c r="I11" s="335">
        <f>ROUND('Tabell 2.1–2.2'!AC26-'Tabell 2.1–2.2'!AC25-'Tabell 2.1–2.2'!AC23,0)</f>
        <v>11071</v>
      </c>
      <c r="J11" s="335"/>
      <c r="K11" s="335">
        <f>ROUND('Tabell 2.1–2.2'!AE26-'Tabell 2.1–2.2'!AE25-'Tabell 2.1–2.2'!AE23,0)</f>
        <v>10892</v>
      </c>
      <c r="L11" s="335"/>
      <c r="M11" s="335">
        <f>ROUND('Tabell 2.1–2.2'!AG26-'Tabell 2.1–2.2'!AG25-'Tabell 2.1–2.2'!AG23,0)</f>
        <v>10816</v>
      </c>
      <c r="N11" s="335"/>
      <c r="O11" s="335">
        <f>ROUND('Tabell 2.1–2.2'!AI26-'Tabell 2.1–2.2'!AI25-'Tabell 2.1–2.2'!AI23,0)</f>
        <v>10843</v>
      </c>
      <c r="P11" s="335"/>
      <c r="Q11" s="335">
        <f>ROUND('Tabell 2.1–2.2'!AK26-'Tabell 2.1–2.2'!AK25-'Tabell 2.1–2.2'!AK23,0)</f>
        <v>10816</v>
      </c>
      <c r="R11" s="335"/>
      <c r="S11" s="335">
        <f>ROUND('Tabell 2.1–2.2'!AM26-'Tabell 2.1–2.2'!AM25-'Tabell 2.1–2.2'!AM23,0)</f>
        <v>10808</v>
      </c>
      <c r="T11" s="335"/>
      <c r="U11" s="335">
        <f>ROUND('Tabell 2.1–2.2'!AO26-'Tabell 2.1–2.2'!AO25-'Tabell 2.1–2.2'!AO23,0)</f>
        <v>10840</v>
      </c>
      <c r="V11" s="335"/>
      <c r="W11" s="335">
        <f>ROUND('Tabell 2.1–2.2'!AQ26-'Tabell 2.1–2.2'!AQ25-'Tabell 2.1–2.2'!AQ23,0)</f>
        <v>10834</v>
      </c>
      <c r="X11" s="335"/>
      <c r="Y11" s="335">
        <f>ROUND('Tabell 2.1–2.2'!AS26-'Tabell 2.1–2.2'!AS25-'Tabell 2.1–2.2'!AS23,0)</f>
        <v>10844</v>
      </c>
      <c r="AA11" s="336"/>
      <c r="AC11" s="237" t="str">
        <f t="shared" si="0"/>
        <v>Railway Transport/Infrastructure/Lines - Length operated/Length operated at 31.12 (km)/By track gauge/Standard gauge,A-I-02-05-15_1-0_0,10844,,</v>
      </c>
      <c r="AD11" s="239"/>
    </row>
    <row r="12" spans="1:33">
      <c r="A12" s="331" t="s">
        <v>1247</v>
      </c>
      <c r="B12" s="332" t="s">
        <v>890</v>
      </c>
      <c r="C12" s="334"/>
      <c r="D12" s="334"/>
      <c r="E12" s="337">
        <v>0</v>
      </c>
      <c r="F12" s="337"/>
      <c r="G12" s="337">
        <v>0</v>
      </c>
      <c r="H12" s="337"/>
      <c r="I12" s="337">
        <v>0</v>
      </c>
      <c r="J12" s="337"/>
      <c r="K12" s="337">
        <v>0</v>
      </c>
      <c r="L12" s="337"/>
      <c r="M12" s="337">
        <v>0</v>
      </c>
      <c r="N12" s="337"/>
      <c r="O12" s="335">
        <v>0</v>
      </c>
      <c r="P12" s="337"/>
      <c r="Q12" s="335">
        <v>0</v>
      </c>
      <c r="R12" s="337"/>
      <c r="S12" s="335">
        <v>0</v>
      </c>
      <c r="T12" s="337"/>
      <c r="U12" s="335">
        <v>0</v>
      </c>
      <c r="V12" s="335"/>
      <c r="W12" s="335">
        <v>0</v>
      </c>
      <c r="X12" s="335"/>
      <c r="Y12" s="335">
        <v>0</v>
      </c>
      <c r="AA12" s="336"/>
      <c r="AC12" s="237" t="str">
        <f t="shared" si="0"/>
        <v>Railway Transport/Infrastructure/Lines - Length operated/Length operated at 31.12 (km)/By track gauge/Large gauge,A-I-02-05-15_2-0_0,0,,</v>
      </c>
      <c r="AD12" s="239"/>
    </row>
    <row r="13" spans="1:33">
      <c r="A13" s="331" t="s">
        <v>1248</v>
      </c>
      <c r="B13" s="332" t="s">
        <v>891</v>
      </c>
      <c r="C13" s="334"/>
      <c r="D13" s="334"/>
      <c r="E13" s="335">
        <f>ROUND('Tabell 2.1–2.2'!Y23+'Tabell 2.1–2.2'!Y25,0)</f>
        <v>65</v>
      </c>
      <c r="F13" s="335"/>
      <c r="G13" s="335">
        <f>ROUND('Tabell 2.1–2.2'!AA23+'Tabell 2.1–2.2'!AA25,0)</f>
        <v>65</v>
      </c>
      <c r="H13" s="335"/>
      <c r="I13" s="335">
        <f>ROUND('Tabell 2.1–2.2'!AC23+'Tabell 2.1–2.2'!AC25,0)</f>
        <v>65</v>
      </c>
      <c r="J13" s="335"/>
      <c r="K13" s="335">
        <f>ROUND('Tabell 2.1–2.2'!AE23+'Tabell 2.1–2.2'!AE25,0)</f>
        <v>65</v>
      </c>
      <c r="L13" s="335"/>
      <c r="M13" s="335">
        <f>ROUND('Tabell 2.1–2.2'!AG23+'Tabell 2.1–2.2'!AG25,0)</f>
        <v>65</v>
      </c>
      <c r="N13" s="335"/>
      <c r="O13" s="335">
        <f>ROUND('Tabell 2.1–2.2'!AI23+'Tabell 2.1–2.2'!AI25,0)</f>
        <v>65</v>
      </c>
      <c r="P13" s="335"/>
      <c r="Q13" s="335">
        <f>ROUND('Tabell 2.1–2.2'!AK23+'Tabell 2.1–2.2'!AK25,0)</f>
        <v>65</v>
      </c>
      <c r="R13" s="335"/>
      <c r="S13" s="335">
        <f>ROUND('Tabell 2.1–2.2'!AM23+'Tabell 2.1–2.2'!AM25,0)</f>
        <v>65</v>
      </c>
      <c r="T13" s="335"/>
      <c r="U13" s="335">
        <f>ROUND('Tabell 2.1–2.2'!AO23+'Tabell 2.1–2.2'!AO25,0)</f>
        <v>65</v>
      </c>
      <c r="V13" s="335"/>
      <c r="W13" s="335">
        <f>ROUND('Tabell 2.1–2.2'!AQ23+'Tabell 2.1–2.2'!AQ25,0)</f>
        <v>65</v>
      </c>
      <c r="X13" s="335"/>
      <c r="Y13" s="335">
        <f>ROUND('Tabell 2.1–2.2'!AS23+'Tabell 2.1–2.2'!AS25,0)</f>
        <v>65</v>
      </c>
      <c r="AA13" s="336"/>
      <c r="AC13" s="237" t="str">
        <f t="shared" si="0"/>
        <v>Railway Transport/Infrastructure/Lines - Length operated/Length operated at 31.12 (km)/By track gauge/Narrow gauge,A-I-02-05-15_3-0_0,65,,</v>
      </c>
      <c r="AD13" s="239"/>
    </row>
    <row r="14" spans="1:33">
      <c r="A14" s="331" t="s">
        <v>1249</v>
      </c>
      <c r="B14" s="332" t="s">
        <v>892</v>
      </c>
      <c r="C14" s="334"/>
      <c r="D14" s="334"/>
      <c r="E14" s="337">
        <v>0</v>
      </c>
      <c r="F14" s="337"/>
      <c r="G14" s="337">
        <v>0</v>
      </c>
      <c r="H14" s="337"/>
      <c r="I14" s="337">
        <v>0</v>
      </c>
      <c r="J14" s="337"/>
      <c r="K14" s="337">
        <v>0</v>
      </c>
      <c r="L14" s="337"/>
      <c r="M14" s="337">
        <v>0</v>
      </c>
      <c r="N14" s="337"/>
      <c r="O14" s="335">
        <v>0</v>
      </c>
      <c r="P14" s="337"/>
      <c r="Q14" s="337">
        <v>0</v>
      </c>
      <c r="R14" s="337"/>
      <c r="S14" s="337">
        <v>0</v>
      </c>
      <c r="T14" s="337"/>
      <c r="U14" s="337">
        <v>0</v>
      </c>
      <c r="V14" s="337"/>
      <c r="W14" s="337">
        <v>0</v>
      </c>
      <c r="X14" s="337"/>
      <c r="Y14" s="337">
        <v>0</v>
      </c>
      <c r="AA14" s="336"/>
      <c r="AC14" s="237" t="str">
        <f t="shared" si="0"/>
        <v>Railway Transport/Infrastructure/Lines - Length operated/Length operated at 31.12 (km)/By type of line/Dedicated high speed lines,A-I-02-05-82_1-0_0,0,,</v>
      </c>
      <c r="AD14" s="239"/>
    </row>
    <row r="15" spans="1:33">
      <c r="A15" s="331" t="s">
        <v>1250</v>
      </c>
      <c r="B15" s="332" t="s">
        <v>893</v>
      </c>
      <c r="C15" s="334" t="s">
        <v>884</v>
      </c>
      <c r="D15" s="334"/>
      <c r="E15" s="337"/>
      <c r="F15" s="337"/>
      <c r="G15" s="337"/>
      <c r="H15" s="337"/>
      <c r="I15" s="337"/>
      <c r="J15" s="337"/>
      <c r="K15" s="337"/>
      <c r="L15" s="337"/>
      <c r="M15" s="337"/>
      <c r="N15" s="337"/>
      <c r="O15" s="337"/>
      <c r="P15" s="337"/>
      <c r="Q15" s="337"/>
      <c r="R15" s="337"/>
      <c r="S15" s="337"/>
      <c r="T15" s="337"/>
      <c r="U15" s="337"/>
      <c r="V15" s="337"/>
      <c r="W15" s="337"/>
      <c r="X15" s="337"/>
      <c r="Y15" s="337"/>
      <c r="AA15" s="336"/>
      <c r="AC15" s="237" t="str">
        <f t="shared" si="0"/>
        <v>Railway Transport/Infrastructure/Lines - Length operated/Length operated at 31.12 (km)/By type of line/Upgraded high speed lines,A-I-02-05-82_2-0_0,,:,</v>
      </c>
      <c r="AD15" s="239"/>
    </row>
    <row r="16" spans="1:33">
      <c r="A16" s="331" t="s">
        <v>1251</v>
      </c>
      <c r="B16" s="332" t="s">
        <v>894</v>
      </c>
      <c r="C16" s="334" t="s">
        <v>884</v>
      </c>
      <c r="D16" s="334"/>
      <c r="E16" s="337"/>
      <c r="F16" s="337"/>
      <c r="G16" s="337"/>
      <c r="H16" s="337"/>
      <c r="I16" s="337"/>
      <c r="J16" s="337"/>
      <c r="K16" s="337"/>
      <c r="L16" s="337"/>
      <c r="M16" s="337"/>
      <c r="N16" s="337"/>
      <c r="O16" s="337"/>
      <c r="P16" s="337"/>
      <c r="Q16" s="337"/>
      <c r="R16" s="337"/>
      <c r="S16" s="337"/>
      <c r="T16" s="337"/>
      <c r="U16" s="337"/>
      <c r="V16" s="337"/>
      <c r="W16" s="337"/>
      <c r="X16" s="337"/>
      <c r="Y16" s="337"/>
      <c r="AA16" s="336"/>
      <c r="AC16" s="237" t="str">
        <f t="shared" si="0"/>
        <v>Railway Transport/Infrastructure/Lines - Length operated/Length operated at 31.12 (km)/By type of line/Conventional lines,A-I-02-05-82_3-0_0,,:,</v>
      </c>
      <c r="AD16" s="239"/>
    </row>
    <row r="17" spans="1:30">
      <c r="A17" s="331" t="s">
        <v>1252</v>
      </c>
      <c r="B17" s="332" t="s">
        <v>895</v>
      </c>
      <c r="C17" s="334"/>
      <c r="D17" s="334"/>
      <c r="E17" s="335">
        <f>ROUND('Tabell 2.1–2.2'!Y26-'Tabell 2.1–2.2'!Y36,0)</f>
        <v>3195</v>
      </c>
      <c r="F17" s="335"/>
      <c r="G17" s="335">
        <f>ROUND('Tabell 2.1–2.2'!AA26-'Tabell 2.1–2.2'!AA36,0)</f>
        <v>3087</v>
      </c>
      <c r="H17" s="335"/>
      <c r="I17" s="335">
        <f>ROUND('Tabell 2.1–2.2'!AC26-'Tabell 2.1–2.2'!AC36,0)</f>
        <v>2942</v>
      </c>
      <c r="J17" s="335"/>
      <c r="K17" s="335">
        <f>ROUND('Tabell 2.1–2.2'!AE26-'Tabell 2.1–2.2'!AE36,0)</f>
        <v>2743</v>
      </c>
      <c r="L17" s="335"/>
      <c r="M17" s="335">
        <f>ROUND('Tabell 2.1–2.2'!AG26-'Tabell 2.1–2.2'!AG36,0)</f>
        <v>2649</v>
      </c>
      <c r="N17" s="335"/>
      <c r="O17" s="335">
        <f>ROUND('Tabell 2.1–2.2'!AI26-'Tabell 2.1–2.2'!AI36,0)</f>
        <v>2673</v>
      </c>
      <c r="P17" s="335"/>
      <c r="Q17" s="335">
        <f>ROUND('Tabell 2.1–2.2'!AK26-'Tabell 2.1–2.2'!AK36,0)</f>
        <v>2698</v>
      </c>
      <c r="R17" s="335"/>
      <c r="S17" s="335">
        <f>ROUND('Tabell 2.1–2.2'!AM26-'Tabell 2.1–2.2'!AM36,0)</f>
        <v>2685</v>
      </c>
      <c r="T17" s="335"/>
      <c r="U17" s="335">
        <f>ROUND('Tabell 2.1–2.2'!AO26-'Tabell 2.1–2.2'!AO36,0)</f>
        <v>2689</v>
      </c>
      <c r="V17" s="335"/>
      <c r="W17" s="335">
        <f>ROUND('Tabell 2.1–2.2'!AQ26-'Tabell 2.1–2.2'!AQ36,0)</f>
        <v>2714</v>
      </c>
      <c r="X17" s="335"/>
      <c r="Y17" s="335">
        <f>ROUND('Tabell 2.1–2.2'!AS26-'Tabell 2.1–2.2'!AS36,0)</f>
        <v>2725</v>
      </c>
      <c r="AA17" s="336"/>
      <c r="AC17" s="237" t="str">
        <f t="shared" si="0"/>
        <v>Railway Transport/Infrastructure/Lines ? Non electrified/Length operated at 31.12 (km)/Total,A-I-02-05-23_1-0_0,2725,,</v>
      </c>
      <c r="AD17" s="239"/>
    </row>
    <row r="18" spans="1:30">
      <c r="A18" s="331" t="s">
        <v>1253</v>
      </c>
      <c r="B18" s="332" t="s">
        <v>896</v>
      </c>
      <c r="C18" s="334" t="s">
        <v>884</v>
      </c>
      <c r="D18" s="334"/>
      <c r="E18" s="337"/>
      <c r="F18" s="337"/>
      <c r="G18" s="337"/>
      <c r="H18" s="337"/>
      <c r="I18" s="337"/>
      <c r="J18" s="337"/>
      <c r="K18" s="337"/>
      <c r="L18" s="337"/>
      <c r="M18" s="337"/>
      <c r="N18" s="337"/>
      <c r="O18" s="337"/>
      <c r="P18" s="337"/>
      <c r="Q18" s="337"/>
      <c r="R18" s="337"/>
      <c r="S18" s="337"/>
      <c r="T18" s="337"/>
      <c r="U18" s="337"/>
      <c r="V18" s="337"/>
      <c r="W18" s="337"/>
      <c r="X18" s="337"/>
      <c r="Y18" s="337"/>
      <c r="AA18" s="336"/>
      <c r="AC18" s="237" t="str">
        <f t="shared" si="0"/>
        <v>Railway Transport/Infrastructure/Lines ? Non electrified/Length operated at 31.12 (km)/Total/By nature of traffic/Passenger only,A-I-02-05-23_1-11_1,,:,</v>
      </c>
      <c r="AD18" s="239"/>
    </row>
    <row r="19" spans="1:30">
      <c r="A19" s="331" t="s">
        <v>1254</v>
      </c>
      <c r="B19" s="332" t="s">
        <v>897</v>
      </c>
      <c r="C19" s="334" t="s">
        <v>884</v>
      </c>
      <c r="D19" s="334"/>
      <c r="E19" s="337"/>
      <c r="F19" s="337"/>
      <c r="G19" s="337"/>
      <c r="H19" s="337"/>
      <c r="I19" s="337"/>
      <c r="J19" s="337"/>
      <c r="K19" s="337"/>
      <c r="L19" s="337"/>
      <c r="M19" s="337"/>
      <c r="N19" s="337"/>
      <c r="O19" s="337"/>
      <c r="P19" s="337"/>
      <c r="Q19" s="337"/>
      <c r="R19" s="337"/>
      <c r="S19" s="337"/>
      <c r="T19" s="337"/>
      <c r="U19" s="337"/>
      <c r="V19" s="337"/>
      <c r="W19" s="337"/>
      <c r="X19" s="337"/>
      <c r="Y19" s="337"/>
      <c r="AA19" s="336"/>
      <c r="AC19" s="237" t="str">
        <f t="shared" si="0"/>
        <v>Railway Transport/Infrastructure/Lines ? Non electrified/Length operated at 31.12 (km)/Total/By nature of traffic/Freight only,A-I-02-05-23_1-11_2,,:,</v>
      </c>
      <c r="AD19" s="239"/>
    </row>
    <row r="20" spans="1:30">
      <c r="A20" s="331" t="s">
        <v>1255</v>
      </c>
      <c r="B20" s="332" t="s">
        <v>898</v>
      </c>
      <c r="C20" s="334" t="s">
        <v>884</v>
      </c>
      <c r="D20" s="334"/>
      <c r="E20" s="337"/>
      <c r="F20" s="337"/>
      <c r="G20" s="337"/>
      <c r="H20" s="337"/>
      <c r="I20" s="337"/>
      <c r="J20" s="337"/>
      <c r="K20" s="337"/>
      <c r="L20" s="337"/>
      <c r="M20" s="337"/>
      <c r="N20" s="337"/>
      <c r="O20" s="337"/>
      <c r="P20" s="337"/>
      <c r="Q20" s="337"/>
      <c r="R20" s="337"/>
      <c r="S20" s="337"/>
      <c r="T20" s="337"/>
      <c r="U20" s="337"/>
      <c r="V20" s="337"/>
      <c r="W20" s="337"/>
      <c r="X20" s="337"/>
      <c r="Y20" s="337"/>
      <c r="AA20" s="336"/>
      <c r="AC20" s="237" t="str">
        <f t="shared" si="0"/>
        <v>Railway Transport/Infrastructure/Lines ? Non electrified/Length operated at 31.12 (km)/Total/By nature of traffic/Passenger and freight,A-I-02-05-23_1-11_3,,:,</v>
      </c>
      <c r="AD20" s="239"/>
    </row>
    <row r="21" spans="1:30">
      <c r="A21" s="331" t="s">
        <v>1256</v>
      </c>
      <c r="B21" s="332" t="s">
        <v>899</v>
      </c>
      <c r="C21" s="334"/>
      <c r="D21" s="334"/>
      <c r="E21" s="335">
        <f>ROUND('Tabell 2.1–2.2'!Y22-'Tabell 2.1–2.2'!Y32,0)</f>
        <v>3195</v>
      </c>
      <c r="F21" s="335"/>
      <c r="G21" s="335">
        <f>ROUND('Tabell 2.1–2.2'!AA22-'Tabell 2.1–2.2'!AA32,0)</f>
        <v>3087</v>
      </c>
      <c r="H21" s="335"/>
      <c r="I21" s="335">
        <f>ROUND('Tabell 2.1–2.2'!AC22-'Tabell 2.1–2.2'!AC32,0)</f>
        <v>2942</v>
      </c>
      <c r="J21" s="335"/>
      <c r="K21" s="335">
        <f>ROUND('Tabell 2.1–2.2'!AE22-'Tabell 2.1–2.2'!AE32,0)</f>
        <v>2743</v>
      </c>
      <c r="L21" s="335"/>
      <c r="M21" s="335">
        <f>ROUND('Tabell 2.1–2.2'!AG22-'Tabell 2.1–2.2'!AG32,0)</f>
        <v>2649</v>
      </c>
      <c r="N21" s="335"/>
      <c r="O21" s="335">
        <f>ROUND('Tabell 2.1–2.2'!AI22-'Tabell 2.1–2.2'!AI32,0)</f>
        <v>2673</v>
      </c>
      <c r="P21" s="335"/>
      <c r="Q21" s="335">
        <f>ROUND('Tabell 2.1–2.2'!AK22-'Tabell 2.1–2.2'!AK32,0)</f>
        <v>2698</v>
      </c>
      <c r="R21" s="335"/>
      <c r="S21" s="335">
        <f>ROUND('Tabell 2.1–2.2'!AM22-'Tabell 2.1–2.2'!AM32,0)</f>
        <v>2685</v>
      </c>
      <c r="T21" s="335"/>
      <c r="U21" s="335">
        <f>ROUND('Tabell 2.1–2.2'!AO22-'Tabell 2.1–2.2'!AO32,0)</f>
        <v>2689</v>
      </c>
      <c r="V21" s="335"/>
      <c r="W21" s="335">
        <f>ROUND('Tabell 2.1–2.2'!AQ22-'Tabell 2.1–2.2'!AQ32,0)</f>
        <v>2714</v>
      </c>
      <c r="X21" s="335"/>
      <c r="Y21" s="335">
        <f>ROUND('Tabell 2.1–2.2'!AS22-'Tabell 2.1–2.2'!AS32,0)</f>
        <v>2725</v>
      </c>
      <c r="AA21" s="336"/>
      <c r="AC21" s="237" t="str">
        <f t="shared" si="0"/>
        <v>Railway Transport/Infrastructure/Lines ? Non electrified/Length operated at 31.12 (km)/Total/By number of tracks/Single track,A-I-02-05-23_1-12_1,2725,,</v>
      </c>
      <c r="AD21" s="239"/>
    </row>
    <row r="22" spans="1:30">
      <c r="A22" s="331" t="s">
        <v>1257</v>
      </c>
      <c r="B22" s="332" t="s">
        <v>900</v>
      </c>
      <c r="C22" s="334"/>
      <c r="D22" s="334"/>
      <c r="E22" s="337">
        <v>0</v>
      </c>
      <c r="F22" s="337"/>
      <c r="G22" s="337">
        <v>0</v>
      </c>
      <c r="H22" s="337"/>
      <c r="I22" s="337">
        <v>0</v>
      </c>
      <c r="J22" s="337"/>
      <c r="K22" s="337">
        <v>0</v>
      </c>
      <c r="L22" s="337"/>
      <c r="M22" s="337">
        <v>0</v>
      </c>
      <c r="N22" s="337"/>
      <c r="O22" s="337">
        <v>0</v>
      </c>
      <c r="P22" s="337"/>
      <c r="Q22" s="337">
        <v>0</v>
      </c>
      <c r="R22" s="337"/>
      <c r="S22" s="337">
        <v>0</v>
      </c>
      <c r="T22" s="337"/>
      <c r="U22" s="337">
        <v>0</v>
      </c>
      <c r="V22" s="337"/>
      <c r="W22" s="337">
        <v>0</v>
      </c>
      <c r="X22" s="337"/>
      <c r="Y22" s="337">
        <v>0</v>
      </c>
      <c r="AA22" s="336"/>
      <c r="AC22" s="237" t="str">
        <f t="shared" si="0"/>
        <v>Railway Transport/Infrastructure/Lines ? Non electrified/Length operated at 31.12 (km)/Total/By number of tracks/Double track or more,A-I-02-05-23_1-12_2,0,,</v>
      </c>
      <c r="AD22" s="239"/>
    </row>
    <row r="23" spans="1:30">
      <c r="A23" s="331" t="s">
        <v>1258</v>
      </c>
      <c r="B23" s="332" t="s">
        <v>901</v>
      </c>
      <c r="C23" s="334"/>
      <c r="D23" s="334"/>
      <c r="E23" s="335">
        <f>ROUND(('Tabell 2.1–2.2'!Y26-'Tabell 2.1–2.2'!Y25-'Tabell 2.1–2.2'!Y23)-('Tabell 2.1–2.2'!Y36-'Tabell 2.1–2.2'!Y35-'Tabell 2.1–2.2'!Y33),0)</f>
        <v>3195</v>
      </c>
      <c r="F23" s="335"/>
      <c r="G23" s="335">
        <f>ROUND(('Tabell 2.1–2.2'!AA26-'Tabell 2.1–2.2'!AA25-'Tabell 2.1–2.2'!AA23)-('Tabell 2.1–2.2'!AA36-'Tabell 2.1–2.2'!AA35-'Tabell 2.1–2.2'!AA33),0)</f>
        <v>3087</v>
      </c>
      <c r="H23" s="335"/>
      <c r="I23" s="335">
        <f>ROUND(('Tabell 2.1–2.2'!AC26-'Tabell 2.1–2.2'!AC25-'Tabell 2.1–2.2'!AC23)-('Tabell 2.1–2.2'!AC36-'Tabell 2.1–2.2'!AC35-'Tabell 2.1–2.2'!AC33),0)</f>
        <v>2942</v>
      </c>
      <c r="J23" s="335"/>
      <c r="K23" s="335">
        <f>ROUND(('Tabell 2.1–2.2'!AE26-'Tabell 2.1–2.2'!AE25-'Tabell 2.1–2.2'!AE23)-('Tabell 2.1–2.2'!AE36-'Tabell 2.1–2.2'!AE35-'Tabell 2.1–2.2'!AE33),0)</f>
        <v>2743</v>
      </c>
      <c r="L23" s="335"/>
      <c r="M23" s="335">
        <f>ROUND(('Tabell 2.1–2.2'!AG26-'Tabell 2.1–2.2'!AG25-'Tabell 2.1–2.2'!AG23)-('Tabell 2.1–2.2'!AG36-'Tabell 2.1–2.2'!AG35-'Tabell 2.1–2.2'!AG33),0)</f>
        <v>2649</v>
      </c>
      <c r="N23" s="335"/>
      <c r="O23" s="335">
        <f>ROUND(('Tabell 2.1–2.2'!AI26-'Tabell 2.1–2.2'!AI25-'Tabell 2.1–2.2'!AI23)-('Tabell 2.1–2.2'!AI36-'Tabell 2.1–2.2'!AI35-'Tabell 2.1–2.2'!AI33),0)</f>
        <v>2673</v>
      </c>
      <c r="P23" s="335"/>
      <c r="Q23" s="335">
        <f>ROUND(('Tabell 2.1–2.2'!AK26-'Tabell 2.1–2.2'!AK25-'Tabell 2.1–2.2'!AK23)-('Tabell 2.1–2.2'!AK36-'Tabell 2.1–2.2'!AK35-'Tabell 2.1–2.2'!AK33),0)</f>
        <v>2698</v>
      </c>
      <c r="R23" s="335"/>
      <c r="S23" s="335">
        <f>ROUND(('Tabell 2.1–2.2'!AM26-'Tabell 2.1–2.2'!AM25-'Tabell 2.1–2.2'!AM23)-('Tabell 2.1–2.2'!AM36-'Tabell 2.1–2.2'!AM35-'Tabell 2.1–2.2'!AM33),0)</f>
        <v>2685</v>
      </c>
      <c r="T23" s="335"/>
      <c r="U23" s="335">
        <f>ROUND(('Tabell 2.1–2.2'!AO26-'Tabell 2.1–2.2'!AO25-'Tabell 2.1–2.2'!AO23)-('Tabell 2.1–2.2'!AO36-'Tabell 2.1–2.2'!AO35-'Tabell 2.1–2.2'!AO33),0)</f>
        <v>2689</v>
      </c>
      <c r="V23" s="335"/>
      <c r="W23" s="335">
        <f>ROUND(('Tabell 2.1–2.2'!AQ26-'Tabell 2.1–2.2'!AQ25-'Tabell 2.1–2.2'!AQ23)-('Tabell 2.1–2.2'!AQ36-'Tabell 2.1–2.2'!AQ35-'Tabell 2.1–2.2'!AQ33),0)</f>
        <v>2714</v>
      </c>
      <c r="X23" s="335"/>
      <c r="Y23" s="335">
        <f>ROUND(('Tabell 2.1–2.2'!AS26-'Tabell 2.1–2.2'!AS25-'Tabell 2.1–2.2'!AS23)-('Tabell 2.1–2.2'!AS36-'Tabell 2.1–2.2'!AS35-'Tabell 2.1–2.2'!AS33),0)</f>
        <v>2725</v>
      </c>
      <c r="AA23" s="336"/>
      <c r="AC23" s="237" t="str">
        <f t="shared" si="0"/>
        <v>Railway Transport/Infrastructure/Lines ? Non electrified/Length operated at 31.12 (km)/Total/By track gauge/Standard gauge,A-I-02-05-23_1-15_1,2725,,</v>
      </c>
      <c r="AD23" s="239"/>
    </row>
    <row r="24" spans="1:30">
      <c r="A24" s="331" t="s">
        <v>1259</v>
      </c>
      <c r="B24" s="332" t="s">
        <v>902</v>
      </c>
      <c r="C24" s="334"/>
      <c r="D24" s="334"/>
      <c r="E24" s="337">
        <v>0</v>
      </c>
      <c r="F24" s="337"/>
      <c r="G24" s="337">
        <v>0</v>
      </c>
      <c r="H24" s="337"/>
      <c r="I24" s="337">
        <v>0</v>
      </c>
      <c r="J24" s="337"/>
      <c r="K24" s="337">
        <v>0</v>
      </c>
      <c r="L24" s="337"/>
      <c r="M24" s="337">
        <v>0</v>
      </c>
      <c r="N24" s="337"/>
      <c r="O24" s="337">
        <v>0</v>
      </c>
      <c r="P24" s="337"/>
      <c r="Q24" s="337">
        <v>0</v>
      </c>
      <c r="R24" s="337"/>
      <c r="S24" s="337">
        <v>0</v>
      </c>
      <c r="T24" s="337"/>
      <c r="U24" s="337">
        <v>0</v>
      </c>
      <c r="V24" s="337"/>
      <c r="W24" s="337">
        <v>0</v>
      </c>
      <c r="X24" s="337"/>
      <c r="Y24" s="337">
        <v>0</v>
      </c>
      <c r="AA24" s="336"/>
      <c r="AC24" s="237" t="str">
        <f t="shared" si="0"/>
        <v>Railway Transport/Infrastructure/Lines ? Non electrified/Length operated at 31.12 (km)/Total/By track gauge/Large gauge,A-I-02-05-23_1-15_2,0,,</v>
      </c>
      <c r="AD24" s="239"/>
    </row>
    <row r="25" spans="1:30">
      <c r="A25" s="331" t="s">
        <v>1260</v>
      </c>
      <c r="B25" s="332" t="s">
        <v>903</v>
      </c>
      <c r="C25" s="334"/>
      <c r="D25" s="334"/>
      <c r="E25" s="337">
        <v>0</v>
      </c>
      <c r="F25" s="337"/>
      <c r="G25" s="337">
        <v>0</v>
      </c>
      <c r="H25" s="337"/>
      <c r="I25" s="337">
        <v>0</v>
      </c>
      <c r="J25" s="337"/>
      <c r="K25" s="337">
        <v>0</v>
      </c>
      <c r="L25" s="337"/>
      <c r="M25" s="337">
        <v>0</v>
      </c>
      <c r="N25" s="337"/>
      <c r="O25" s="337">
        <v>0</v>
      </c>
      <c r="P25" s="337"/>
      <c r="Q25" s="337">
        <v>0</v>
      </c>
      <c r="R25" s="337"/>
      <c r="S25" s="337">
        <v>0</v>
      </c>
      <c r="T25" s="337"/>
      <c r="U25" s="337">
        <v>0</v>
      </c>
      <c r="V25" s="337"/>
      <c r="W25" s="337">
        <v>0</v>
      </c>
      <c r="X25" s="337"/>
      <c r="Y25" s="337">
        <v>0</v>
      </c>
      <c r="AA25" s="336"/>
      <c r="AC25" s="237" t="str">
        <f t="shared" si="0"/>
        <v>Railway Transport/Infrastructure/Lines ? Non electrified/Length operated at 31.12 (km)/Total/By track gauge/Narrow gauge,A-I-02-05-23_1-15_3,0,,</v>
      </c>
      <c r="AD25" s="239"/>
    </row>
    <row r="26" spans="1:30">
      <c r="A26" s="331" t="s">
        <v>1261</v>
      </c>
      <c r="B26" s="332" t="s">
        <v>904</v>
      </c>
      <c r="C26" s="334"/>
      <c r="D26" s="334"/>
      <c r="E26" s="335">
        <f>ROUND('Tabell 2.1–2.2'!Y36,0)</f>
        <v>7965</v>
      </c>
      <c r="F26" s="335"/>
      <c r="G26" s="335">
        <f>ROUND('Tabell 2.1–2.2'!AA36,0)</f>
        <v>8119</v>
      </c>
      <c r="H26" s="335"/>
      <c r="I26" s="335">
        <f>ROUND('Tabell 2.1–2.2'!AC36,0)</f>
        <v>8194</v>
      </c>
      <c r="J26" s="335"/>
      <c r="K26" s="335">
        <f>ROUND('Tabell 2.1–2.2'!AE36,0)</f>
        <v>8214</v>
      </c>
      <c r="L26" s="335"/>
      <c r="M26" s="335">
        <f>ROUND('Tabell 2.1–2.2'!AG36,0)</f>
        <v>8232</v>
      </c>
      <c r="N26" s="335"/>
      <c r="O26" s="335">
        <f>ROUND('Tabell 2.1–2.2'!AI36,0)</f>
        <v>8235</v>
      </c>
      <c r="P26" s="335"/>
      <c r="Q26" s="335">
        <f>ROUND('Tabell 2.1–2.2'!AK36,0)</f>
        <v>8184</v>
      </c>
      <c r="R26" s="335"/>
      <c r="S26" s="335">
        <f>ROUND('Tabell 2.1–2.2'!AM36,0)</f>
        <v>8189</v>
      </c>
      <c r="T26" s="335"/>
      <c r="U26" s="335">
        <f>ROUND('Tabell 2.1–2.2'!AO36,0)</f>
        <v>8217</v>
      </c>
      <c r="V26" s="335"/>
      <c r="W26" s="335">
        <f>ROUND('Tabell 2.1–2.2'!AQ36,0)</f>
        <v>8185</v>
      </c>
      <c r="X26" s="335"/>
      <c r="Y26" s="335">
        <f>ROUND('Tabell 2.1–2.2'!AS36,0)</f>
        <v>8184</v>
      </c>
      <c r="AA26" s="336"/>
      <c r="AC26" s="237" t="str">
        <f t="shared" si="0"/>
        <v>Railway Transport/Infrastructure/Lines ? Electrified/Length operated at 31.12 (km)/Total,A-I-02-05-23_2-0_0,8184,,</v>
      </c>
      <c r="AD26" s="239"/>
    </row>
    <row r="27" spans="1:30">
      <c r="A27" s="331" t="s">
        <v>1262</v>
      </c>
      <c r="B27" s="332" t="s">
        <v>905</v>
      </c>
      <c r="C27" s="334" t="s">
        <v>884</v>
      </c>
      <c r="D27" s="334"/>
      <c r="E27" s="337"/>
      <c r="F27" s="337"/>
      <c r="G27" s="337"/>
      <c r="H27" s="337"/>
      <c r="I27" s="337"/>
      <c r="J27" s="337"/>
      <c r="K27" s="337"/>
      <c r="L27" s="337"/>
      <c r="M27" s="337"/>
      <c r="N27" s="337"/>
      <c r="O27" s="337"/>
      <c r="P27" s="337"/>
      <c r="Q27" s="337"/>
      <c r="R27" s="337"/>
      <c r="S27" s="337"/>
      <c r="T27" s="337"/>
      <c r="U27" s="337"/>
      <c r="V27" s="337"/>
      <c r="W27" s="337"/>
      <c r="X27" s="337"/>
      <c r="Y27" s="337"/>
      <c r="AA27" s="336"/>
      <c r="AC27" s="237" t="str">
        <f t="shared" si="0"/>
        <v>Railway Transport/Infrastructure/Lines ? Electrified/Length operated at 31.12 (km)/Total/By nature of traffic/Passenger only,A-I-02-05-23_2-11_1,,:,</v>
      </c>
      <c r="AD27" s="239"/>
    </row>
    <row r="28" spans="1:30">
      <c r="A28" s="331" t="s">
        <v>1263</v>
      </c>
      <c r="B28" s="332" t="s">
        <v>906</v>
      </c>
      <c r="C28" s="334" t="s">
        <v>884</v>
      </c>
      <c r="D28" s="334"/>
      <c r="E28" s="337"/>
      <c r="F28" s="337"/>
      <c r="G28" s="337"/>
      <c r="H28" s="337"/>
      <c r="I28" s="337"/>
      <c r="J28" s="337"/>
      <c r="K28" s="337"/>
      <c r="L28" s="337"/>
      <c r="M28" s="337"/>
      <c r="N28" s="337"/>
      <c r="O28" s="337"/>
      <c r="P28" s="337"/>
      <c r="Q28" s="337"/>
      <c r="R28" s="337"/>
      <c r="S28" s="337"/>
      <c r="T28" s="337"/>
      <c r="U28" s="337"/>
      <c r="V28" s="337"/>
      <c r="W28" s="337"/>
      <c r="X28" s="337"/>
      <c r="Y28" s="337"/>
      <c r="AA28" s="336"/>
      <c r="AC28" s="237" t="str">
        <f t="shared" si="0"/>
        <v>Railway Transport/Infrastructure/Lines ? Electrified/Length operated at 31.12 (km)/Total/By nature of traffic/Freight only,A-I-02-05-23_2-11_2,,:,</v>
      </c>
      <c r="AD28" s="239"/>
    </row>
    <row r="29" spans="1:30">
      <c r="A29" s="331" t="s">
        <v>1264</v>
      </c>
      <c r="B29" s="332" t="s">
        <v>907</v>
      </c>
      <c r="C29" s="334" t="s">
        <v>884</v>
      </c>
      <c r="D29" s="334"/>
      <c r="E29" s="337"/>
      <c r="F29" s="337"/>
      <c r="G29" s="337"/>
      <c r="H29" s="337"/>
      <c r="I29" s="337"/>
      <c r="J29" s="337"/>
      <c r="K29" s="337"/>
      <c r="L29" s="337"/>
      <c r="M29" s="337"/>
      <c r="N29" s="337"/>
      <c r="O29" s="337"/>
      <c r="P29" s="337"/>
      <c r="Q29" s="337"/>
      <c r="R29" s="337"/>
      <c r="S29" s="337"/>
      <c r="T29" s="337"/>
      <c r="U29" s="337"/>
      <c r="V29" s="337"/>
      <c r="W29" s="337"/>
      <c r="X29" s="337"/>
      <c r="Y29" s="337"/>
      <c r="AA29" s="336"/>
      <c r="AC29" s="237" t="str">
        <f t="shared" si="0"/>
        <v>Railway Transport/Infrastructure/Lines ? Electrified/Length operated at 31.12 (km)/Total/By nature of traffic/Passenger and freight,A-I-02-05-23_2-11_3,,:,</v>
      </c>
      <c r="AD29" s="239"/>
    </row>
    <row r="30" spans="1:30">
      <c r="A30" s="331" t="s">
        <v>1265</v>
      </c>
      <c r="B30" s="332" t="s">
        <v>908</v>
      </c>
      <c r="C30" s="334"/>
      <c r="D30" s="334"/>
      <c r="E30" s="335">
        <f>ROUND('Tabell 2.1–2.2'!Y32,0)</f>
        <v>6101</v>
      </c>
      <c r="F30" s="335"/>
      <c r="G30" s="335">
        <f>ROUND('Tabell 2.1–2.2'!AA32,0)</f>
        <v>6234</v>
      </c>
      <c r="H30" s="335"/>
      <c r="I30" s="335">
        <f>ROUND('Tabell 2.1–2.2'!AC32,0)</f>
        <v>6248</v>
      </c>
      <c r="J30" s="335"/>
      <c r="K30" s="335">
        <f>ROUND('Tabell 2.1–2.2'!AE32,0)</f>
        <v>6267</v>
      </c>
      <c r="L30" s="335"/>
      <c r="M30" s="335">
        <f>ROUND('Tabell 2.1–2.2'!AG32,0)</f>
        <v>6283</v>
      </c>
      <c r="N30" s="335"/>
      <c r="O30" s="335">
        <f>ROUND('Tabell 2.1–2.2'!AI32,0)</f>
        <v>6272</v>
      </c>
      <c r="P30" s="335"/>
      <c r="Q30" s="335">
        <f>ROUND('Tabell 2.1–2.2'!AK32,0)</f>
        <v>6174</v>
      </c>
      <c r="R30" s="335"/>
      <c r="S30" s="335">
        <f>ROUND('Tabell 2.1–2.2'!AM32,0)</f>
        <v>6152</v>
      </c>
      <c r="T30" s="335"/>
      <c r="U30" s="335">
        <f>ROUND('Tabell 2.1–2.2'!AO32,0)</f>
        <v>6171</v>
      </c>
      <c r="V30" s="335"/>
      <c r="W30" s="335">
        <f>ROUND('Tabell 2.1–2.2'!AQ32,0)</f>
        <v>6136</v>
      </c>
      <c r="X30" s="335"/>
      <c r="Y30" s="335">
        <f>ROUND('Tabell 2.1–2.2'!AS32,0)</f>
        <v>6128</v>
      </c>
      <c r="AA30" s="336"/>
      <c r="AC30" s="237" t="str">
        <f t="shared" si="0"/>
        <v>Railway Transport/Infrastructure/Lines ? Electrified/Length operated at 31.12 (km)/Total/By number of tracks/Single track,A-I-02-05-23_2-12_1,6128,,</v>
      </c>
      <c r="AD30" s="239"/>
    </row>
    <row r="31" spans="1:30">
      <c r="A31" s="331" t="s">
        <v>1266</v>
      </c>
      <c r="B31" s="332" t="s">
        <v>909</v>
      </c>
      <c r="C31" s="334"/>
      <c r="D31" s="334"/>
      <c r="E31" s="335">
        <f>ROUND('Tabell 2.1–2.2'!Y34,0)</f>
        <v>1865</v>
      </c>
      <c r="F31" s="335"/>
      <c r="G31" s="335">
        <f>ROUND('Tabell 2.1–2.2'!AA34,0)</f>
        <v>1886</v>
      </c>
      <c r="H31" s="335"/>
      <c r="I31" s="335">
        <f>ROUND('Tabell 2.1–2.2'!AC34,0)</f>
        <v>1947</v>
      </c>
      <c r="J31" s="335"/>
      <c r="K31" s="335">
        <f>ROUND('Tabell 2.1–2.2'!AE34,0)</f>
        <v>1948</v>
      </c>
      <c r="L31" s="335"/>
      <c r="M31" s="335">
        <f>ROUND('Tabell 2.1–2.2'!AG34,0)</f>
        <v>1950</v>
      </c>
      <c r="N31" s="335"/>
      <c r="O31" s="335">
        <f>ROUND('Tabell 2.1–2.2'!AI34,0)</f>
        <v>1964</v>
      </c>
      <c r="P31" s="335"/>
      <c r="Q31" s="335">
        <f>ROUND('Tabell 2.1–2.2'!AK34,0)</f>
        <v>2009</v>
      </c>
      <c r="R31" s="335"/>
      <c r="S31" s="335">
        <f>ROUND('Tabell 2.1–2.2'!AM34,0)</f>
        <v>2036</v>
      </c>
      <c r="T31" s="335"/>
      <c r="U31" s="335">
        <f>ROUND('Tabell 2.1–2.2'!AO34,0)</f>
        <v>2046</v>
      </c>
      <c r="V31" s="335"/>
      <c r="W31" s="335">
        <f>ROUND('Tabell 2.1–2.2'!AQ34,0)</f>
        <v>2049</v>
      </c>
      <c r="X31" s="335"/>
      <c r="Y31" s="335">
        <f>ROUND('Tabell 2.1–2.2'!AS34,0)</f>
        <v>2056</v>
      </c>
      <c r="AA31" s="336"/>
      <c r="AC31" s="237" t="str">
        <f t="shared" si="0"/>
        <v>Railway Transport/Infrastructure/Lines ? Electrified/Length operated at 31.12 (km)/Total/By number of tracks/Double track or more,A-I-02-05-23_2-12_2,2056,,</v>
      </c>
      <c r="AD31" s="239"/>
    </row>
    <row r="32" spans="1:30">
      <c r="A32" s="331" t="s">
        <v>1267</v>
      </c>
      <c r="B32" s="332" t="s">
        <v>910</v>
      </c>
      <c r="C32" s="334"/>
      <c r="D32" s="334"/>
      <c r="E32" s="335">
        <f>ROUND('Tabell 2.1–2.2'!Y36-'Tabell 2.1–2.2'!Y35-'Tabell 2.1–2.2'!Y33,0)</f>
        <v>7900</v>
      </c>
      <c r="F32" s="335"/>
      <c r="G32" s="335">
        <f>ROUND('Tabell 2.1–2.2'!AA36-'Tabell 2.1–2.2'!AA35-'Tabell 2.1–2.2'!AA33,0)</f>
        <v>8054</v>
      </c>
      <c r="H32" s="335"/>
      <c r="I32" s="335">
        <f>ROUND('Tabell 2.1–2.2'!AC36-'Tabell 2.1–2.2'!AC35-'Tabell 2.1–2.2'!AC33,0)</f>
        <v>8129</v>
      </c>
      <c r="J32" s="335"/>
      <c r="K32" s="335">
        <f>ROUND('Tabell 2.1–2.2'!AE36-'Tabell 2.1–2.2'!AE35-'Tabell 2.1–2.2'!AE33,0)</f>
        <v>8149</v>
      </c>
      <c r="L32" s="335"/>
      <c r="M32" s="335">
        <f>ROUND('Tabell 2.1–2.2'!AG36-'Tabell 2.1–2.2'!AG35-'Tabell 2.1–2.2'!AG33,0)</f>
        <v>8167</v>
      </c>
      <c r="N32" s="335"/>
      <c r="O32" s="335">
        <f>ROUND('Tabell 2.1–2.2'!AI36-'Tabell 2.1–2.2'!AI35-'Tabell 2.1–2.2'!AI33,0)</f>
        <v>8170</v>
      </c>
      <c r="P32" s="335"/>
      <c r="Q32" s="335">
        <f>ROUND('Tabell 2.1–2.2'!AK36-'Tabell 2.1–2.2'!AK35-'Tabell 2.1–2.2'!AK33,0)</f>
        <v>8118</v>
      </c>
      <c r="R32" s="335"/>
      <c r="S32" s="335">
        <f>ROUND('Tabell 2.1–2.2'!AM36-'Tabell 2.1–2.2'!AM35-'Tabell 2.1–2.2'!AM33,0)</f>
        <v>8123</v>
      </c>
      <c r="T32" s="335"/>
      <c r="U32" s="335">
        <f>ROUND('Tabell 2.1–2.2'!AO36-'Tabell 2.1–2.2'!AO35-'Tabell 2.1–2.2'!AO33,0)</f>
        <v>8151</v>
      </c>
      <c r="V32" s="335"/>
      <c r="W32" s="335">
        <f>ROUND('Tabell 2.1–2.2'!AQ36-'Tabell 2.1–2.2'!AQ35-'Tabell 2.1–2.2'!AQ33,0)</f>
        <v>8119</v>
      </c>
      <c r="X32" s="335"/>
      <c r="Y32" s="335">
        <f>ROUND('Tabell 2.1–2.2'!AS36-'Tabell 2.1–2.2'!AS35-'Tabell 2.1–2.2'!AS33,0)</f>
        <v>8119</v>
      </c>
      <c r="AA32" s="336"/>
      <c r="AC32" s="237" t="str">
        <f t="shared" si="0"/>
        <v>Railway Transport/Infrastructure/Lines ? Electrified/Length operated at 31.12 (km)/Total/By track gauge/Standard gauge,A-I-02-05-23_2-15_1,8119,,</v>
      </c>
      <c r="AD32" s="239"/>
    </row>
    <row r="33" spans="1:30">
      <c r="A33" s="331" t="s">
        <v>1268</v>
      </c>
      <c r="B33" s="332" t="s">
        <v>911</v>
      </c>
      <c r="C33" s="334"/>
      <c r="D33" s="334"/>
      <c r="E33" s="337">
        <v>0</v>
      </c>
      <c r="F33" s="337"/>
      <c r="G33" s="337">
        <v>0</v>
      </c>
      <c r="H33" s="337"/>
      <c r="I33" s="337">
        <v>0</v>
      </c>
      <c r="J33" s="337"/>
      <c r="K33" s="337">
        <v>0</v>
      </c>
      <c r="L33" s="337"/>
      <c r="M33" s="337">
        <v>0</v>
      </c>
      <c r="N33" s="337"/>
      <c r="O33" s="335">
        <v>0</v>
      </c>
      <c r="P33" s="337"/>
      <c r="Q33" s="337">
        <v>0</v>
      </c>
      <c r="R33" s="337"/>
      <c r="S33" s="337">
        <v>0</v>
      </c>
      <c r="T33" s="337"/>
      <c r="U33" s="337">
        <v>0</v>
      </c>
      <c r="V33" s="337"/>
      <c r="W33" s="337">
        <v>0</v>
      </c>
      <c r="X33" s="337"/>
      <c r="Y33" s="337">
        <v>0</v>
      </c>
      <c r="AA33" s="336"/>
      <c r="AC33" s="237" t="str">
        <f t="shared" si="0"/>
        <v>Railway Transport/Infrastructure/Lines ? Electrified/Length operated at 31.12 (km)/Total/By track gauge/Large gauge,A-I-02-05-23_2-15_2,0,,</v>
      </c>
      <c r="AD33" s="239"/>
    </row>
    <row r="34" spans="1:30">
      <c r="A34" s="331" t="s">
        <v>1269</v>
      </c>
      <c r="B34" s="332" t="s">
        <v>912</v>
      </c>
      <c r="C34" s="334"/>
      <c r="D34" s="334"/>
      <c r="E34" s="335">
        <f>ROUND('Tabell 2.1–2.2'!Y33+'Tabell 2.1–2.2'!Y35,0)</f>
        <v>65</v>
      </c>
      <c r="F34" s="335"/>
      <c r="G34" s="335">
        <f>ROUND('Tabell 2.1–2.2'!AA33+'Tabell 2.1–2.2'!AA35,0)</f>
        <v>65</v>
      </c>
      <c r="H34" s="335"/>
      <c r="I34" s="335">
        <f>ROUND('Tabell 2.1–2.2'!AC33+'Tabell 2.1–2.2'!AC35,0)</f>
        <v>65</v>
      </c>
      <c r="J34" s="335"/>
      <c r="K34" s="335">
        <f>ROUND('Tabell 2.1–2.2'!AE33+'Tabell 2.1–2.2'!AE35,0)</f>
        <v>65</v>
      </c>
      <c r="L34" s="335"/>
      <c r="M34" s="335">
        <f>ROUND('Tabell 2.1–2.2'!AG33+'Tabell 2.1–2.2'!AG35,0)</f>
        <v>65</v>
      </c>
      <c r="N34" s="335"/>
      <c r="O34" s="335">
        <f>ROUND('Tabell 2.1–2.2'!AI33+'Tabell 2.1–2.2'!AI35,0)</f>
        <v>65</v>
      </c>
      <c r="P34" s="335"/>
      <c r="Q34" s="335">
        <f>ROUND('Tabell 2.1–2.2'!AK33+'Tabell 2.1–2.2'!AK35,0)</f>
        <v>65</v>
      </c>
      <c r="R34" s="335"/>
      <c r="S34" s="335">
        <f>ROUND('Tabell 2.1–2.2'!AM33+'Tabell 2.1–2.2'!AM35,0)</f>
        <v>65</v>
      </c>
      <c r="T34" s="335"/>
      <c r="U34" s="335">
        <f>ROUND('Tabell 2.1–2.2'!AO33+'Tabell 2.1–2.2'!AO35,0)</f>
        <v>65</v>
      </c>
      <c r="V34" s="335"/>
      <c r="W34" s="335">
        <f>ROUND('Tabell 2.1–2.2'!AQ33+'Tabell 2.1–2.2'!AQ35,0)</f>
        <v>65</v>
      </c>
      <c r="X34" s="335"/>
      <c r="Y34" s="335">
        <f>ROUND('Tabell 2.1–2.2'!AS33+'Tabell 2.1–2.2'!AS35,0)</f>
        <v>65</v>
      </c>
      <c r="AA34" s="336"/>
      <c r="AC34" s="237" t="str">
        <f t="shared" ref="AC34:AC65" si="2">CONCATENATE(B34,",",A34,",",Y34,",",C34,",",D34)</f>
        <v>Railway Transport/Infrastructure/Lines ? Electrified/Length operated at 31.12 (km)/Total/By track gauge/Narrow gauge,A-I-02-05-23_2-15_3,65,,</v>
      </c>
      <c r="AD34" s="239"/>
    </row>
    <row r="35" spans="1:30">
      <c r="A35" s="331" t="s">
        <v>1270</v>
      </c>
      <c r="B35" s="332" t="s">
        <v>913</v>
      </c>
      <c r="C35" s="334"/>
      <c r="D35" s="334"/>
      <c r="E35" s="337">
        <v>0</v>
      </c>
      <c r="F35" s="337"/>
      <c r="G35" s="337">
        <v>0</v>
      </c>
      <c r="H35" s="337"/>
      <c r="I35" s="337">
        <v>0</v>
      </c>
      <c r="J35" s="337"/>
      <c r="K35" s="337">
        <v>0</v>
      </c>
      <c r="L35" s="337"/>
      <c r="M35" s="337">
        <v>0</v>
      </c>
      <c r="N35" s="337"/>
      <c r="O35" s="335">
        <v>0</v>
      </c>
      <c r="P35" s="337"/>
      <c r="Q35" s="337">
        <v>0</v>
      </c>
      <c r="R35" s="337"/>
      <c r="S35" s="337">
        <v>0</v>
      </c>
      <c r="T35" s="337"/>
      <c r="U35" s="337">
        <v>0</v>
      </c>
      <c r="V35" s="337"/>
      <c r="W35" s="337">
        <v>0</v>
      </c>
      <c r="X35" s="337"/>
      <c r="Y35" s="337">
        <v>0</v>
      </c>
      <c r="AA35" s="336"/>
      <c r="AC35" s="237" t="str">
        <f t="shared" si="2"/>
        <v>Railway Transport/Infrastructure/Lines ? Electrified/Length operated at 31.12 (km)/Total/By type of current/50 Hz/25000 V,A-I-02-05-23_2-19_1,0,,</v>
      </c>
      <c r="AD35" s="239"/>
    </row>
    <row r="36" spans="1:30">
      <c r="A36" s="331" t="s">
        <v>1271</v>
      </c>
      <c r="B36" s="332" t="s">
        <v>914</v>
      </c>
      <c r="C36" s="334"/>
      <c r="D36" s="334"/>
      <c r="E36" s="335">
        <f>ROUND('Tabell 2.1–2.2'!Y36,0)</f>
        <v>7965</v>
      </c>
      <c r="F36" s="335"/>
      <c r="G36" s="335">
        <f>ROUND('Tabell 2.1–2.2'!AA36,0)</f>
        <v>8119</v>
      </c>
      <c r="H36" s="335"/>
      <c r="I36" s="335">
        <f>ROUND('Tabell 2.1–2.2'!AC36,0)</f>
        <v>8194</v>
      </c>
      <c r="J36" s="335"/>
      <c r="K36" s="335">
        <f>ROUND('Tabell 2.1–2.2'!AE36,0)</f>
        <v>8214</v>
      </c>
      <c r="L36" s="335"/>
      <c r="M36" s="335">
        <f>ROUND('Tabell 2.1–2.2'!AG36,0)</f>
        <v>8232</v>
      </c>
      <c r="N36" s="335"/>
      <c r="O36" s="335">
        <f>ROUND('Tabell 2.1–2.2'!AI36,0)</f>
        <v>8235</v>
      </c>
      <c r="P36" s="335"/>
      <c r="Q36" s="335">
        <f>ROUND('Tabell 2.1–2.2'!AK36,0)</f>
        <v>8184</v>
      </c>
      <c r="R36" s="335"/>
      <c r="S36" s="335">
        <f>ROUND('Tabell 2.1–2.2'!AM36,0)</f>
        <v>8189</v>
      </c>
      <c r="T36" s="335"/>
      <c r="U36" s="335">
        <f>ROUND('Tabell 2.1–2.2'!AO36,0)</f>
        <v>8217</v>
      </c>
      <c r="V36" s="335"/>
      <c r="W36" s="335">
        <f>ROUND('Tabell 2.1–2.2'!AQ36,0)</f>
        <v>8185</v>
      </c>
      <c r="X36" s="335"/>
      <c r="Y36" s="335">
        <f>ROUND('Tabell 2.1–2.2'!AS36,0)</f>
        <v>8184</v>
      </c>
      <c r="AA36" s="336"/>
      <c r="AC36" s="237" t="str">
        <f t="shared" si="2"/>
        <v>Railway Transport/Infrastructure/Lines ? Electrified/Length operated at 31.12 (km)/Total/By type of current/16 2/3 Hz/15000 V,A-I-02-05-23_2-19_2,8184,,</v>
      </c>
      <c r="AD36" s="239"/>
    </row>
    <row r="37" spans="1:30">
      <c r="A37" s="331" t="s">
        <v>1272</v>
      </c>
      <c r="B37" s="332" t="s">
        <v>915</v>
      </c>
      <c r="C37" s="334"/>
      <c r="D37" s="334"/>
      <c r="E37" s="337">
        <v>0</v>
      </c>
      <c r="F37" s="337"/>
      <c r="G37" s="337">
        <v>0</v>
      </c>
      <c r="H37" s="337"/>
      <c r="I37" s="337">
        <v>0</v>
      </c>
      <c r="J37" s="337"/>
      <c r="K37" s="337">
        <v>0</v>
      </c>
      <c r="L37" s="337"/>
      <c r="M37" s="337">
        <v>0</v>
      </c>
      <c r="N37" s="337"/>
      <c r="O37" s="337">
        <v>0</v>
      </c>
      <c r="P37" s="337"/>
      <c r="Q37" s="337">
        <v>0</v>
      </c>
      <c r="R37" s="337"/>
      <c r="S37" s="337">
        <v>0</v>
      </c>
      <c r="T37" s="337"/>
      <c r="U37" s="337">
        <v>0</v>
      </c>
      <c r="V37" s="337"/>
      <c r="W37" s="337">
        <v>0</v>
      </c>
      <c r="X37" s="337"/>
      <c r="Y37" s="337">
        <v>0</v>
      </c>
      <c r="AA37" s="336"/>
      <c r="AC37" s="237" t="str">
        <f t="shared" si="2"/>
        <v>Railway Transport/Infrastructure/Lines ? Electrified/Length operated at 31.12 (km)/Total/By type of current/Other alternative current- please specify,A-I-02-05-23_2-19_3,0,,</v>
      </c>
      <c r="AD37" s="239"/>
    </row>
    <row r="38" spans="1:30">
      <c r="A38" s="331" t="s">
        <v>1273</v>
      </c>
      <c r="B38" s="332" t="s">
        <v>916</v>
      </c>
      <c r="C38" s="334"/>
      <c r="D38" s="334"/>
      <c r="E38" s="337">
        <v>0</v>
      </c>
      <c r="F38" s="337"/>
      <c r="G38" s="337">
        <v>0</v>
      </c>
      <c r="H38" s="337"/>
      <c r="I38" s="337">
        <v>0</v>
      </c>
      <c r="J38" s="337"/>
      <c r="K38" s="337">
        <v>0</v>
      </c>
      <c r="L38" s="337"/>
      <c r="M38" s="337">
        <v>0</v>
      </c>
      <c r="N38" s="337"/>
      <c r="O38" s="337">
        <v>0</v>
      </c>
      <c r="P38" s="337"/>
      <c r="Q38" s="337">
        <v>0</v>
      </c>
      <c r="R38" s="337"/>
      <c r="S38" s="337">
        <v>0</v>
      </c>
      <c r="T38" s="337"/>
      <c r="U38" s="337">
        <v>0</v>
      </c>
      <c r="V38" s="337"/>
      <c r="W38" s="337">
        <v>0</v>
      </c>
      <c r="X38" s="337"/>
      <c r="Y38" s="337">
        <v>0</v>
      </c>
      <c r="AA38" s="336"/>
      <c r="AC38" s="237" t="str">
        <f t="shared" si="2"/>
        <v>Railway Transport/Infrastructure/Lines ? Electrified/Length operated at 31.12 (km)/Total/By type of current/DC 3000 V,A-I-02-05-23_2-19_4,0,,</v>
      </c>
      <c r="AD38" s="239"/>
    </row>
    <row r="39" spans="1:30">
      <c r="A39" s="331" t="s">
        <v>1274</v>
      </c>
      <c r="B39" s="332" t="s">
        <v>917</v>
      </c>
      <c r="C39" s="334"/>
      <c r="D39" s="334"/>
      <c r="E39" s="337">
        <v>0</v>
      </c>
      <c r="F39" s="337"/>
      <c r="G39" s="337">
        <v>0</v>
      </c>
      <c r="H39" s="337"/>
      <c r="I39" s="337">
        <v>0</v>
      </c>
      <c r="J39" s="337"/>
      <c r="K39" s="337">
        <v>0</v>
      </c>
      <c r="L39" s="337"/>
      <c r="M39" s="337">
        <v>0</v>
      </c>
      <c r="N39" s="337"/>
      <c r="O39" s="337">
        <v>0</v>
      </c>
      <c r="P39" s="337"/>
      <c r="Q39" s="337">
        <v>0</v>
      </c>
      <c r="R39" s="337"/>
      <c r="S39" s="337">
        <v>0</v>
      </c>
      <c r="T39" s="337"/>
      <c r="U39" s="337">
        <v>0</v>
      </c>
      <c r="V39" s="337"/>
      <c r="W39" s="337">
        <v>0</v>
      </c>
      <c r="X39" s="337"/>
      <c r="Y39" s="337">
        <v>0</v>
      </c>
      <c r="AA39" s="336"/>
      <c r="AC39" s="237" t="str">
        <f t="shared" si="2"/>
        <v>Railway Transport/Infrastructure/Lines ? Electrified/Length operated at 31.12 (km)/Total/By type of current/DC 1500 V,A-I-02-05-23_2-19_5,0,,</v>
      </c>
      <c r="AD39" s="239"/>
    </row>
    <row r="40" spans="1:30">
      <c r="A40" s="331" t="s">
        <v>1275</v>
      </c>
      <c r="B40" s="332" t="s">
        <v>918</v>
      </c>
      <c r="C40" s="334"/>
      <c r="D40" s="334"/>
      <c r="E40" s="337">
        <v>0</v>
      </c>
      <c r="F40" s="337"/>
      <c r="G40" s="337">
        <v>0</v>
      </c>
      <c r="H40" s="337"/>
      <c r="I40" s="337">
        <v>0</v>
      </c>
      <c r="J40" s="337"/>
      <c r="K40" s="337">
        <v>0</v>
      </c>
      <c r="L40" s="337"/>
      <c r="M40" s="337">
        <v>0</v>
      </c>
      <c r="N40" s="337"/>
      <c r="O40" s="337">
        <v>0</v>
      </c>
      <c r="P40" s="337"/>
      <c r="Q40" s="337">
        <v>0</v>
      </c>
      <c r="R40" s="337"/>
      <c r="S40" s="337">
        <v>0</v>
      </c>
      <c r="T40" s="337"/>
      <c r="U40" s="337">
        <v>0</v>
      </c>
      <c r="V40" s="337"/>
      <c r="W40" s="337">
        <v>0</v>
      </c>
      <c r="X40" s="337"/>
      <c r="Y40" s="337">
        <v>0</v>
      </c>
      <c r="AA40" s="336"/>
      <c r="AC40" s="237" t="str">
        <f t="shared" si="2"/>
        <v>Railway Transport/Infrastructure/Lines ? Electrified/Length operated at 31.12 (km)/Total/By type of current/Other direct current (DC)- please specify,A-I-02-05-23_2-19_6,0,,</v>
      </c>
      <c r="AD40" s="239"/>
    </row>
    <row r="41" spans="1:30">
      <c r="A41" s="331" t="s">
        <v>1276</v>
      </c>
      <c r="B41" s="332" t="s">
        <v>919</v>
      </c>
      <c r="C41" s="334"/>
      <c r="D41" s="334"/>
      <c r="E41" s="335">
        <f>ROUND('Tabell 3.1–3.3'!Y16+'Tabell 3.1–3.3'!Y17,0)</f>
        <v>677</v>
      </c>
      <c r="F41" s="335"/>
      <c r="G41" s="335">
        <f>ROUND('Tabell 3.1–3.3'!AA16+'Tabell 3.1–3.3'!AA17,0)</f>
        <v>691</v>
      </c>
      <c r="H41" s="335"/>
      <c r="I41" s="335">
        <f>ROUND('Tabell 3.1–3.3'!AC16+'Tabell 3.1–3.3'!AC17,0)</f>
        <v>674</v>
      </c>
      <c r="J41" s="335"/>
      <c r="K41" s="335">
        <f>ROUND('Tabell 3.1–3.3'!AE16+'Tabell 3.1–3.3'!AE17,0)</f>
        <v>647</v>
      </c>
      <c r="L41" s="335"/>
      <c r="M41" s="335">
        <f>ROUND('Tabell 3.1–3.3'!AG16+'Tabell 3.1–3.3'!AG17,0)</f>
        <v>648</v>
      </c>
      <c r="N41" s="335"/>
      <c r="O41" s="335">
        <f>ROUND('Tabell 3.1–3.3'!AI16+'Tabell 3.1–3.3'!AI17,0)</f>
        <v>622</v>
      </c>
      <c r="P41" s="335"/>
      <c r="Q41" s="335">
        <f>ROUND('Tabell 3.1–3.3'!AK16+'Tabell 3.1–3.3'!AK17,0)</f>
        <v>621</v>
      </c>
      <c r="R41" s="335"/>
      <c r="S41" s="335">
        <f>ROUND('Tabell 3.1–3.3'!AM16+'Tabell 3.1–3.3'!AM17,0)</f>
        <v>621</v>
      </c>
      <c r="T41" s="335"/>
      <c r="U41" s="335">
        <f>ROUND('Tabell 3.1–3.3'!AO16+'Tabell 3.1–3.3'!AO17,0)</f>
        <v>651</v>
      </c>
      <c r="V41" s="335"/>
      <c r="W41" s="335">
        <f>ROUND('Tabell 3.1–3.3'!AQ16+'Tabell 3.1–3.3'!AQ17,0)</f>
        <v>617</v>
      </c>
      <c r="X41" s="335"/>
      <c r="Y41" s="335">
        <f>ROUND('Tabell 3.1–3.3'!AS16+'Tabell 3.1–3.3'!AS17,0)</f>
        <v>620</v>
      </c>
      <c r="AA41" s="336"/>
      <c r="AC41" s="237" t="str">
        <f t="shared" si="2"/>
        <v>Railway Transport/Transport Equipment/Locomotives/Number at 31.12/Total,A-II-01-07-0_0-0_0,620,,</v>
      </c>
      <c r="AD41" s="239"/>
    </row>
    <row r="42" spans="1:30">
      <c r="A42" s="331" t="s">
        <v>1277</v>
      </c>
      <c r="B42" s="332" t="s">
        <v>920</v>
      </c>
      <c r="C42" s="334"/>
      <c r="D42" s="334"/>
      <c r="E42" s="335">
        <f>ROUND('Tabell 3.1–3.3'!Y16,0)</f>
        <v>458</v>
      </c>
      <c r="F42" s="335"/>
      <c r="G42" s="335">
        <f>ROUND('Tabell 3.1–3.3'!AA16,0)</f>
        <v>470</v>
      </c>
      <c r="H42" s="335"/>
      <c r="I42" s="335">
        <f>ROUND('Tabell 3.1–3.3'!AC16,0)</f>
        <v>455</v>
      </c>
      <c r="J42" s="335"/>
      <c r="K42" s="335">
        <f>ROUND('Tabell 3.1–3.3'!AE16,0)</f>
        <v>436</v>
      </c>
      <c r="L42" s="335"/>
      <c r="M42" s="335">
        <f>ROUND('Tabell 3.1–3.3'!AG16,0)</f>
        <v>441</v>
      </c>
      <c r="N42" s="335"/>
      <c r="O42" s="335">
        <f>ROUND('Tabell 3.1–3.3'!AI16,0)</f>
        <v>435</v>
      </c>
      <c r="P42" s="335"/>
      <c r="Q42" s="335">
        <f>ROUND('Tabell 3.1–3.3'!AK16,0)</f>
        <v>427</v>
      </c>
      <c r="R42" s="335"/>
      <c r="S42" s="335">
        <f>ROUND('Tabell 3.1–3.3'!AM16,0)</f>
        <v>430</v>
      </c>
      <c r="T42" s="335"/>
      <c r="U42" s="335">
        <f>ROUND('Tabell 3.1–3.3'!AO16,0)</f>
        <v>440</v>
      </c>
      <c r="V42" s="335"/>
      <c r="W42" s="335">
        <f>ROUND('Tabell 3.1–3.3'!AQ16,0)</f>
        <v>432</v>
      </c>
      <c r="X42" s="335"/>
      <c r="Y42" s="335">
        <f>ROUND('Tabell 3.1–3.3'!AS16,0)</f>
        <v>439</v>
      </c>
      <c r="AA42" s="336"/>
      <c r="AC42" s="237" t="str">
        <f t="shared" si="2"/>
        <v>Railway Transport/Transport Equipment/Locomotives/Number at 31.12/By source of power/Electric,A-II-01-07-14_1-0_0,439,,</v>
      </c>
      <c r="AD42" s="239"/>
    </row>
    <row r="43" spans="1:30">
      <c r="A43" s="331" t="s">
        <v>1278</v>
      </c>
      <c r="B43" s="332" t="s">
        <v>921</v>
      </c>
      <c r="C43" s="334"/>
      <c r="D43" s="334"/>
      <c r="E43" s="335">
        <f>ROUND('Tabell 3.1–3.3'!Y17,0)</f>
        <v>219</v>
      </c>
      <c r="F43" s="335"/>
      <c r="G43" s="335">
        <f>ROUND('Tabell 3.1–3.3'!AA17,0)</f>
        <v>221</v>
      </c>
      <c r="H43" s="335"/>
      <c r="I43" s="335">
        <f>ROUND('Tabell 3.1–3.3'!AC17,0)</f>
        <v>219</v>
      </c>
      <c r="J43" s="335"/>
      <c r="K43" s="335">
        <f>ROUND('Tabell 3.1–3.3'!AE17,0)</f>
        <v>211</v>
      </c>
      <c r="L43" s="335"/>
      <c r="M43" s="335">
        <f>ROUND('Tabell 3.1–3.3'!AG17,0)</f>
        <v>207</v>
      </c>
      <c r="N43" s="335"/>
      <c r="O43" s="335">
        <f>ROUND('Tabell 3.1–3.3'!AI17,0)</f>
        <v>187</v>
      </c>
      <c r="P43" s="335"/>
      <c r="Q43" s="335">
        <f>ROUND('Tabell 3.1–3.3'!AK17,0)</f>
        <v>194</v>
      </c>
      <c r="R43" s="335"/>
      <c r="S43" s="335">
        <f>ROUND('Tabell 3.1–3.3'!AM17,0)</f>
        <v>191</v>
      </c>
      <c r="T43" s="335"/>
      <c r="U43" s="335">
        <f>ROUND('Tabell 3.1–3.3'!AO17,0)</f>
        <v>211</v>
      </c>
      <c r="V43" s="335"/>
      <c r="W43" s="335">
        <f>ROUND('Tabell 3.1–3.3'!AQ17,0)</f>
        <v>185</v>
      </c>
      <c r="X43" s="335"/>
      <c r="Y43" s="335">
        <f>ROUND('Tabell 3.1–3.3'!AS17,0)</f>
        <v>181</v>
      </c>
      <c r="AA43" s="336"/>
      <c r="AC43" s="237" t="str">
        <f t="shared" si="2"/>
        <v>Railway Transport/Transport Equipment/Locomotives/Number at 31.12/By source of power/Diesel,A-II-01-07-14_2-0_0,181,,</v>
      </c>
      <c r="AD43" s="239"/>
    </row>
    <row r="44" spans="1:30">
      <c r="A44" s="331" t="s">
        <v>1279</v>
      </c>
      <c r="B44" s="332" t="s">
        <v>922</v>
      </c>
      <c r="C44" s="334" t="s">
        <v>884</v>
      </c>
      <c r="D44" s="334"/>
      <c r="E44" s="337"/>
      <c r="F44" s="337"/>
      <c r="G44" s="337"/>
      <c r="H44" s="337"/>
      <c r="I44" s="337"/>
      <c r="J44" s="337"/>
      <c r="K44" s="337"/>
      <c r="L44" s="337"/>
      <c r="M44" s="337"/>
      <c r="N44" s="337"/>
      <c r="O44" s="337"/>
      <c r="P44" s="337"/>
      <c r="Q44" s="337"/>
      <c r="R44" s="337"/>
      <c r="S44" s="337"/>
      <c r="T44" s="337"/>
      <c r="U44" s="337"/>
      <c r="V44" s="337"/>
      <c r="W44" s="337"/>
      <c r="X44" s="337"/>
      <c r="Y44" s="337"/>
      <c r="AA44" s="336"/>
      <c r="AC44" s="237" t="str">
        <f t="shared" si="2"/>
        <v>Railway Transport/Transport Equipment/Locomotives/Tractive power at 31.12 (1000 kW)/Total,A-II-01-20-0_0-0_0,,:,</v>
      </c>
      <c r="AD44" s="239"/>
    </row>
    <row r="45" spans="1:30">
      <c r="A45" s="331" t="s">
        <v>1280</v>
      </c>
      <c r="B45" s="332" t="s">
        <v>923</v>
      </c>
      <c r="C45" s="334" t="s">
        <v>884</v>
      </c>
      <c r="D45" s="334"/>
      <c r="E45" s="337"/>
      <c r="F45" s="337"/>
      <c r="G45" s="337"/>
      <c r="H45" s="337"/>
      <c r="I45" s="337"/>
      <c r="J45" s="337"/>
      <c r="K45" s="337"/>
      <c r="L45" s="337"/>
      <c r="M45" s="337"/>
      <c r="N45" s="337"/>
      <c r="O45" s="337"/>
      <c r="P45" s="337"/>
      <c r="Q45" s="337"/>
      <c r="R45" s="337"/>
      <c r="S45" s="337"/>
      <c r="T45" s="337"/>
      <c r="U45" s="337"/>
      <c r="V45" s="337"/>
      <c r="W45" s="337"/>
      <c r="X45" s="337"/>
      <c r="Y45" s="337"/>
      <c r="AA45" s="336"/>
      <c r="AC45" s="237" t="str">
        <f t="shared" si="2"/>
        <v>Railway Transport/Transport Equipment/Locomotives/Tractive power at 31.12 (1000 kW)/By source of power/Electric,A-II-01-20-14_1-0_0,,:,</v>
      </c>
      <c r="AD45" s="239"/>
    </row>
    <row r="46" spans="1:30">
      <c r="A46" s="331" t="s">
        <v>1281</v>
      </c>
      <c r="B46" s="332" t="s">
        <v>924</v>
      </c>
      <c r="C46" s="334" t="s">
        <v>884</v>
      </c>
      <c r="D46" s="334"/>
      <c r="E46" s="337"/>
      <c r="F46" s="337"/>
      <c r="G46" s="337"/>
      <c r="H46" s="337"/>
      <c r="I46" s="337"/>
      <c r="J46" s="337"/>
      <c r="K46" s="337"/>
      <c r="L46" s="337"/>
      <c r="M46" s="337"/>
      <c r="N46" s="337"/>
      <c r="O46" s="337"/>
      <c r="P46" s="337"/>
      <c r="Q46" s="337"/>
      <c r="R46" s="337"/>
      <c r="S46" s="337"/>
      <c r="T46" s="337"/>
      <c r="U46" s="337"/>
      <c r="V46" s="337"/>
      <c r="W46" s="337"/>
      <c r="X46" s="337"/>
      <c r="Y46" s="337"/>
      <c r="AA46" s="336"/>
      <c r="AC46" s="237" t="str">
        <f t="shared" si="2"/>
        <v>Railway Transport/Transport Equipment/Locomotives/Tractive power at 31.12 (1000 kW)/By source of power/Diesel,A-II-01-20-14_2-0_0,,:,</v>
      </c>
      <c r="AD46" s="239"/>
    </row>
    <row r="47" spans="1:30">
      <c r="A47" s="331" t="s">
        <v>1282</v>
      </c>
      <c r="B47" s="332" t="s">
        <v>925</v>
      </c>
      <c r="C47" s="334"/>
      <c r="D47" s="334"/>
      <c r="E47" s="335">
        <f>ROUND('Tabell 3.1–3.3'!Y68,0)</f>
        <v>1250</v>
      </c>
      <c r="F47" s="335"/>
      <c r="G47" s="335">
        <f>ROUND('Tabell 3.1–3.3'!AA68,0)</f>
        <v>1336</v>
      </c>
      <c r="H47" s="335"/>
      <c r="I47" s="335">
        <f>ROUND('Tabell 3.1–3.3'!AC68,0)</f>
        <v>1611</v>
      </c>
      <c r="J47" s="335"/>
      <c r="K47" s="335">
        <f>ROUND('Tabell 3.1–3.3'!AE68,0)</f>
        <v>1684</v>
      </c>
      <c r="L47" s="335"/>
      <c r="M47" s="335">
        <f>ROUND('Tabell 3.1–3.3'!AG68,0)</f>
        <v>1768</v>
      </c>
      <c r="N47" s="335"/>
      <c r="O47" s="335">
        <f>ROUND('Tabell 3.1–3.3'!AI68,0)</f>
        <v>1800</v>
      </c>
      <c r="P47" s="335"/>
      <c r="Q47" s="335">
        <f>ROUND('Tabell 3.1–3.3'!AK68,0)</f>
        <v>1917</v>
      </c>
      <c r="R47" s="335"/>
      <c r="S47" s="335">
        <f>ROUND('Tabell 3.1–3.3'!AM68,0)</f>
        <v>2058</v>
      </c>
      <c r="T47" s="335"/>
      <c r="U47" s="335">
        <f>ROUND('Tabell 3.1–3.3'!AO68,0)</f>
        <v>2144</v>
      </c>
      <c r="V47" s="335"/>
      <c r="W47" s="335">
        <f>ROUND('Tabell 3.1–3.3'!AQ68,0)</f>
        <v>2154</v>
      </c>
      <c r="X47" s="335"/>
      <c r="Y47" s="335">
        <f>ROUND('Tabell 3.1–3.3'!AS68,0)</f>
        <v>2300</v>
      </c>
      <c r="AA47" s="336"/>
      <c r="AC47" s="237" t="str">
        <f t="shared" si="2"/>
        <v>Railway Transport/Transport Equipment/Railcars/Number at 31.12/Total,A-II-02-07-0_0-0_0,2300,,</v>
      </c>
      <c r="AD47" s="239"/>
    </row>
    <row r="48" spans="1:30">
      <c r="A48" s="331" t="s">
        <v>1283</v>
      </c>
      <c r="B48" s="332" t="s">
        <v>926</v>
      </c>
      <c r="C48" s="334"/>
      <c r="D48" s="334"/>
      <c r="E48" s="335">
        <f>ROUND('Tabell 3.1–3.3'!Y50,)</f>
        <v>1151</v>
      </c>
      <c r="F48" s="335"/>
      <c r="G48" s="335">
        <f>ROUND('Tabell 3.1–3.3'!AA50,)</f>
        <v>1240</v>
      </c>
      <c r="H48" s="335"/>
      <c r="I48" s="335">
        <f>ROUND('Tabell 3.1–3.3'!AC50,)</f>
        <v>1521</v>
      </c>
      <c r="J48" s="335"/>
      <c r="K48" s="335">
        <f>ROUND('Tabell 3.1–3.3'!AE50,)</f>
        <v>1601</v>
      </c>
      <c r="L48" s="335"/>
      <c r="M48" s="335">
        <f>ROUND('Tabell 3.1–3.3'!AG50,)</f>
        <v>1687</v>
      </c>
      <c r="N48" s="335"/>
      <c r="O48" s="335">
        <f>ROUND('Tabell 3.1–3.3'!AI50,)</f>
        <v>1719</v>
      </c>
      <c r="P48" s="335"/>
      <c r="Q48" s="335">
        <f>ROUND('Tabell 3.1–3.3'!AK50,)</f>
        <v>1839</v>
      </c>
      <c r="R48" s="335"/>
      <c r="S48" s="335">
        <f>ROUND('Tabell 3.1–3.3'!AM50,)</f>
        <v>1980</v>
      </c>
      <c r="T48" s="335"/>
      <c r="U48" s="335">
        <f>ROUND('Tabell 3.1–3.3'!AO50,)</f>
        <v>2071</v>
      </c>
      <c r="V48" s="335"/>
      <c r="W48" s="335">
        <f>ROUND('Tabell 3.1–3.3'!AQ50,)</f>
        <v>2085</v>
      </c>
      <c r="X48" s="335"/>
      <c r="Y48" s="335">
        <f>ROUND('Tabell 3.1–3.3'!AS50,)</f>
        <v>2231</v>
      </c>
      <c r="AA48" s="336"/>
      <c r="AC48" s="237" t="str">
        <f t="shared" si="2"/>
        <v>Railway Transport/Transport Equipment/Railcars/Number at 31.12/By source of power/Electric,A-II-02-07-76_1-0_0,2231,,</v>
      </c>
      <c r="AD48" s="239"/>
    </row>
    <row r="49" spans="1:30">
      <c r="A49" s="331" t="s">
        <v>1284</v>
      </c>
      <c r="B49" s="332" t="s">
        <v>927</v>
      </c>
      <c r="C49" s="334"/>
      <c r="D49" s="334"/>
      <c r="E49" s="335">
        <f>ROUND('Tabell 3.1–3.3'!Y61+'Tabell 3.1–3.3'!Y62,0)</f>
        <v>99</v>
      </c>
      <c r="F49" s="335"/>
      <c r="G49" s="335">
        <f>ROUND('Tabell 3.1–3.3'!AA61+'Tabell 3.1–3.3'!AA62,0)</f>
        <v>96</v>
      </c>
      <c r="H49" s="335"/>
      <c r="I49" s="335">
        <f>ROUND('Tabell 3.1–3.3'!AC61+'Tabell 3.1–3.3'!AC62,0)</f>
        <v>90</v>
      </c>
      <c r="J49" s="335"/>
      <c r="K49" s="335">
        <f>ROUND('Tabell 3.1–3.3'!AE61+'Tabell 3.1–3.3'!AE62,0)</f>
        <v>83</v>
      </c>
      <c r="L49" s="335"/>
      <c r="M49" s="335">
        <f>ROUND('Tabell 3.1–3.3'!AG61+'Tabell 3.1–3.3'!AG62,0)</f>
        <v>81</v>
      </c>
      <c r="N49" s="335"/>
      <c r="O49" s="335">
        <f>ROUND('Tabell 3.1–3.3'!AI61+'Tabell 3.1–3.3'!AI62,0)</f>
        <v>81</v>
      </c>
      <c r="P49" s="335"/>
      <c r="Q49" s="335">
        <f>ROUND('Tabell 3.1–3.3'!AK61+'Tabell 3.1–3.3'!AK62,0)</f>
        <v>78</v>
      </c>
      <c r="R49" s="335"/>
      <c r="S49" s="335">
        <f>ROUND('Tabell 3.1–3.3'!AM61+'Tabell 3.1–3.3'!AM62,0)</f>
        <v>78</v>
      </c>
      <c r="T49" s="335"/>
      <c r="U49" s="335">
        <f>ROUND('Tabell 3.1–3.3'!AO61+'Tabell 3.1–3.3'!AO62,0)</f>
        <v>78</v>
      </c>
      <c r="V49" s="335"/>
      <c r="W49" s="335">
        <f>ROUND('Tabell 3.1–3.3'!AQ61+'Tabell 3.1–3.3'!AQ62,0)</f>
        <v>74</v>
      </c>
      <c r="X49" s="335"/>
      <c r="Y49" s="335">
        <f>ROUND('Tabell 3.1–3.3'!AS61+'Tabell 3.1–3.3'!AS62,0)</f>
        <v>74</v>
      </c>
      <c r="AA49" s="336"/>
      <c r="AC49" s="237" t="str">
        <f t="shared" si="2"/>
        <v>Railway Transport/Transport Equipment/Railcars/Number at 31.12/By source of power/Diesel,A-II-02-07-76_2-0_0,74,,</v>
      </c>
      <c r="AD49" s="239"/>
    </row>
    <row r="50" spans="1:30">
      <c r="A50" s="331" t="s">
        <v>1285</v>
      </c>
      <c r="B50" s="332" t="s">
        <v>928</v>
      </c>
      <c r="C50" s="334" t="s">
        <v>884</v>
      </c>
      <c r="D50" s="334"/>
      <c r="E50" s="337"/>
      <c r="F50" s="337"/>
      <c r="G50" s="337"/>
      <c r="H50" s="337"/>
      <c r="I50" s="337"/>
      <c r="J50" s="337"/>
      <c r="K50" s="337"/>
      <c r="L50" s="337"/>
      <c r="M50" s="337"/>
      <c r="N50" s="337"/>
      <c r="O50" s="337"/>
      <c r="P50" s="337"/>
      <c r="Q50" s="337"/>
      <c r="R50" s="337"/>
      <c r="S50" s="337"/>
      <c r="T50" s="337"/>
      <c r="U50" s="337"/>
      <c r="V50" s="337"/>
      <c r="W50" s="337"/>
      <c r="X50" s="337"/>
      <c r="Y50" s="337"/>
      <c r="AA50" s="336"/>
      <c r="AC50" s="237" t="str">
        <f t="shared" si="2"/>
        <v>Railway Transport/Transport Equipment/Railcars/Tractive power at 31.12 (1000 kW)/Total,A-II-02-20-0_0-0_0,,:,</v>
      </c>
      <c r="AD50" s="239"/>
    </row>
    <row r="51" spans="1:30">
      <c r="A51" s="331" t="s">
        <v>1286</v>
      </c>
      <c r="B51" s="332" t="s">
        <v>929</v>
      </c>
      <c r="C51" s="334" t="s">
        <v>884</v>
      </c>
      <c r="D51" s="334"/>
      <c r="E51" s="337"/>
      <c r="F51" s="337"/>
      <c r="G51" s="337"/>
      <c r="H51" s="337"/>
      <c r="I51" s="337"/>
      <c r="J51" s="337"/>
      <c r="K51" s="337"/>
      <c r="L51" s="337"/>
      <c r="M51" s="337"/>
      <c r="N51" s="337"/>
      <c r="O51" s="337"/>
      <c r="P51" s="337"/>
      <c r="Q51" s="337"/>
      <c r="R51" s="337"/>
      <c r="S51" s="337"/>
      <c r="T51" s="337"/>
      <c r="U51" s="337"/>
      <c r="V51" s="337"/>
      <c r="W51" s="337"/>
      <c r="X51" s="337"/>
      <c r="Y51" s="337"/>
      <c r="AA51" s="336"/>
      <c r="AC51" s="237" t="str">
        <f t="shared" si="2"/>
        <v>Railway Transport/Transport Equipment/Railcars/Tractive power at 31.12 (1000 kW)/By source of power/Electric,A-II-02-20-76_1-0_0,,:,</v>
      </c>
      <c r="AD51" s="239"/>
    </row>
    <row r="52" spans="1:30">
      <c r="A52" s="331" t="s">
        <v>1287</v>
      </c>
      <c r="B52" s="332" t="s">
        <v>930</v>
      </c>
      <c r="C52" s="334" t="s">
        <v>884</v>
      </c>
      <c r="D52" s="334"/>
      <c r="E52" s="337"/>
      <c r="F52" s="337"/>
      <c r="G52" s="337"/>
      <c r="H52" s="337"/>
      <c r="I52" s="337"/>
      <c r="J52" s="337"/>
      <c r="K52" s="337"/>
      <c r="L52" s="337"/>
      <c r="M52" s="337"/>
      <c r="N52" s="337"/>
      <c r="O52" s="337"/>
      <c r="P52" s="337"/>
      <c r="Q52" s="337"/>
      <c r="R52" s="337"/>
      <c r="S52" s="337"/>
      <c r="T52" s="337"/>
      <c r="U52" s="337"/>
      <c r="V52" s="337"/>
      <c r="W52" s="337"/>
      <c r="X52" s="337"/>
      <c r="Y52" s="337"/>
      <c r="AA52" s="336"/>
      <c r="AC52" s="237" t="str">
        <f t="shared" si="2"/>
        <v>Railway Transport/Transport Equipment/Railcars/Tractive power at 31.12 (1000 kW)/By source of power/Diesel,A-II-02-20-76_2-0_0,,:,</v>
      </c>
      <c r="AD52" s="239"/>
    </row>
    <row r="53" spans="1:30">
      <c r="A53" s="331" t="s">
        <v>1288</v>
      </c>
      <c r="B53" s="332" t="s">
        <v>931</v>
      </c>
      <c r="C53" s="334"/>
      <c r="D53" s="334"/>
      <c r="E53" s="335">
        <f>ROUND('Tabell 3.5–3.7'!Y25,0)</f>
        <v>2374</v>
      </c>
      <c r="F53" s="335"/>
      <c r="G53" s="335">
        <f>ROUND('Tabell 3.5–3.7'!AA25,0)</f>
        <v>2412</v>
      </c>
      <c r="H53" s="335"/>
      <c r="I53" s="335">
        <f>ROUND('Tabell 3.5–3.7'!AC25,0)</f>
        <v>2646</v>
      </c>
      <c r="J53" s="335"/>
      <c r="K53" s="335">
        <f>ROUND('Tabell 3.5–3.7'!AE25,0)</f>
        <v>2715</v>
      </c>
      <c r="L53" s="335"/>
      <c r="M53" s="335">
        <f>ROUND('Tabell 3.5–3.7'!AG25,0)</f>
        <v>2806</v>
      </c>
      <c r="N53" s="335"/>
      <c r="O53" s="335">
        <f>ROUND('Tabell 3.5–3.7'!AI25,0)</f>
        <v>2858</v>
      </c>
      <c r="P53" s="335"/>
      <c r="Q53" s="335">
        <f>ROUND('Tabell 3.5–3.7'!AK25,0)</f>
        <v>2964</v>
      </c>
      <c r="R53" s="335"/>
      <c r="S53" s="335">
        <f>ROUND('Tabell 3.5–3.7'!AM25,0)</f>
        <v>3048</v>
      </c>
      <c r="T53" s="335"/>
      <c r="U53" s="335">
        <f>ROUND('Tabell 3.5–3.7'!AO25,0)</f>
        <v>3084</v>
      </c>
      <c r="V53" s="335"/>
      <c r="W53" s="335">
        <f>ROUND('Tabell 3.5–3.7'!AQ25,0)</f>
        <v>3096</v>
      </c>
      <c r="X53" s="335"/>
      <c r="Y53" s="335">
        <f>ROUND('Tabell 3.5–3.7'!AS25,0)</f>
        <v>3284</v>
      </c>
      <c r="AA53" s="336"/>
      <c r="AC53" s="237" t="str">
        <f t="shared" si="2"/>
        <v>Railway Transport/Transport Equipment/Passenger railway vehicles/Number at 31.12/Total,A-II-03-07-0_0-0_0,3284,,</v>
      </c>
      <c r="AD53" s="239"/>
    </row>
    <row r="54" spans="1:30">
      <c r="A54" s="331" t="s">
        <v>1289</v>
      </c>
      <c r="B54" s="332" t="s">
        <v>932</v>
      </c>
      <c r="C54" s="334"/>
      <c r="D54" s="334"/>
      <c r="E54" s="335">
        <f>ROUND('Tabell 3.5–3.7'!Y12+'Tabell 3.5–3.7'!Y13,0)</f>
        <v>169</v>
      </c>
      <c r="F54" s="335"/>
      <c r="G54" s="335">
        <f>ROUND('Tabell 3.5–3.7'!AA12+'Tabell 3.5–3.7'!AA13,0)</f>
        <v>115</v>
      </c>
      <c r="H54" s="335"/>
      <c r="I54" s="335">
        <f>ROUND('Tabell 3.5–3.7'!AC12+'Tabell 3.5–3.7'!AC13,0)</f>
        <v>117</v>
      </c>
      <c r="J54" s="335"/>
      <c r="K54" s="335">
        <f>ROUND('Tabell 3.5–3.7'!AE12+'Tabell 3.5–3.7'!AE13,0)</f>
        <v>122</v>
      </c>
      <c r="L54" s="335"/>
      <c r="M54" s="335">
        <f>ROUND('Tabell 3.5–3.7'!AG12+'Tabell 3.5–3.7'!AG13,0)</f>
        <v>127</v>
      </c>
      <c r="N54" s="335"/>
      <c r="O54" s="335">
        <f>ROUND('Tabell 3.5–3.7'!AI12+'Tabell 3.5–3.7'!AI13,0)</f>
        <v>127</v>
      </c>
      <c r="P54" s="335"/>
      <c r="Q54" s="335">
        <f>ROUND('Tabell 3.5–3.7'!AK12+'Tabell 3.5–3.7'!AK13,0)</f>
        <v>127</v>
      </c>
      <c r="R54" s="335"/>
      <c r="S54" s="335">
        <f>ROUND('Tabell 3.5–3.7'!AM12+'Tabell 3.5–3.7'!AM13,0)</f>
        <v>125</v>
      </c>
      <c r="T54" s="335"/>
      <c r="U54" s="335">
        <f>ROUND('Tabell 3.5–3.7'!AO12+'Tabell 3.5–3.7'!AO13,0)</f>
        <v>119</v>
      </c>
      <c r="V54" s="335"/>
      <c r="W54" s="335">
        <f>ROUND('Tabell 3.5–3.7'!AQ12+'Tabell 3.5–3.7'!AQ13,0)</f>
        <v>124</v>
      </c>
      <c r="X54" s="335"/>
      <c r="Y54" s="335">
        <f>ROUND('Tabell 3.5–3.7'!AS12+'Tabell 3.5–3.7'!AS13,0)</f>
        <v>124</v>
      </c>
      <c r="AA54" s="336"/>
      <c r="AC54" s="237" t="str">
        <f t="shared" si="2"/>
        <v>Railway Transport/Transport Equipment/Passenger railway vehicles/Number at 31.12/By type of vehicle/Couchette coaches- sleeping cars,A-II-03-07-02_4-0_0,124,,</v>
      </c>
      <c r="AD54" s="239"/>
    </row>
    <row r="55" spans="1:30">
      <c r="A55" s="331" t="s">
        <v>1290</v>
      </c>
      <c r="B55" s="332" t="s">
        <v>933</v>
      </c>
      <c r="C55" s="334"/>
      <c r="D55" s="334"/>
      <c r="E55" s="335">
        <f>ROUND('Tabell 3.5–3.7'!Y14,)</f>
        <v>28</v>
      </c>
      <c r="F55" s="335"/>
      <c r="G55" s="335">
        <f>ROUND('Tabell 3.5–3.7'!AA14,)</f>
        <v>27</v>
      </c>
      <c r="H55" s="335"/>
      <c r="I55" s="335">
        <f>ROUND('Tabell 3.5–3.7'!AC14,)</f>
        <v>16</v>
      </c>
      <c r="J55" s="335"/>
      <c r="K55" s="335">
        <f>ROUND('Tabell 3.5–3.7'!AE14,)</f>
        <v>16</v>
      </c>
      <c r="L55" s="335"/>
      <c r="M55" s="335">
        <f>ROUND('Tabell 3.5–3.7'!AG14,)</f>
        <v>18</v>
      </c>
      <c r="N55" s="335"/>
      <c r="O55" s="335">
        <f>ROUND('Tabell 3.5–3.7'!AI14,)</f>
        <v>19</v>
      </c>
      <c r="P55" s="335"/>
      <c r="Q55" s="335">
        <f>ROUND('Tabell 3.5–3.7'!AK14,)</f>
        <v>28</v>
      </c>
      <c r="R55" s="335"/>
      <c r="S55" s="335">
        <f>ROUND('Tabell 3.5–3.7'!AM14,)</f>
        <v>31</v>
      </c>
      <c r="T55" s="335"/>
      <c r="U55" s="335">
        <f>ROUND('Tabell 3.5–3.7'!AO14,)</f>
        <v>28</v>
      </c>
      <c r="V55" s="335"/>
      <c r="W55" s="335">
        <f>ROUND('Tabell 3.5–3.7'!AQ14,)</f>
        <v>24</v>
      </c>
      <c r="X55" s="335"/>
      <c r="Y55" s="335">
        <f>ROUND('Tabell 3.5–3.7'!AS14,)</f>
        <v>25</v>
      </c>
      <c r="AA55" s="336"/>
      <c r="AC55" s="237" t="str">
        <f t="shared" si="2"/>
        <v>Railway Transport/Transport Equipment/Passenger railway vehicles/Number at 31.12/By type of vehicle/Dining cars,A-II-03-07-02_5-0_0,25,,</v>
      </c>
      <c r="AD55" s="239"/>
    </row>
    <row r="56" spans="1:30">
      <c r="A56" s="331" t="s">
        <v>1291</v>
      </c>
      <c r="B56" s="332" t="s">
        <v>934</v>
      </c>
      <c r="C56" s="334"/>
      <c r="D56" s="334"/>
      <c r="E56" s="338">
        <f>ROUND('Tabell 3.5–3.7'!Y11+'Tabell 3.5–3.7'!Y15+'Tabell 3.5–3.7'!Y17,0)</f>
        <v>354</v>
      </c>
      <c r="F56" s="338"/>
      <c r="G56" s="338">
        <f>ROUND('Tabell 3.5–3.7'!AA11+'Tabell 3.5–3.7'!AA15+'Tabell 3.5–3.7'!AA17,0)</f>
        <v>360</v>
      </c>
      <c r="H56" s="338"/>
      <c r="I56" s="338">
        <f>ROUND('Tabell 3.5–3.7'!AC11+'Tabell 3.5–3.7'!AC15+'Tabell 3.5–3.7'!AC17,0)</f>
        <v>380</v>
      </c>
      <c r="J56" s="338"/>
      <c r="K56" s="338">
        <f>ROUND('Tabell 3.5–3.7'!AE11+'Tabell 3.5–3.7'!AE15+'Tabell 3.5–3.7'!AE17,0)</f>
        <v>371</v>
      </c>
      <c r="L56" s="338"/>
      <c r="M56" s="338">
        <f>ROUND('Tabell 3.5–3.7'!AG11+'Tabell 3.5–3.7'!AG17,0)</f>
        <v>354</v>
      </c>
      <c r="N56" s="338"/>
      <c r="O56" s="338">
        <f>ROUND('Tabell 3.5–3.7'!AI11+'Tabell 3.5–3.7'!AI15+'Tabell 3.5–3.7'!AI17,0)</f>
        <v>365</v>
      </c>
      <c r="P56" s="338"/>
      <c r="Q56" s="338">
        <f>ROUND('Tabell 3.5–3.7'!AK11+'Tabell 3.5–3.7'!AK15+'Tabell 3.5–3.7'!AK17,0)</f>
        <v>376</v>
      </c>
      <c r="R56" s="338"/>
      <c r="S56" s="338">
        <f>ROUND('Tabell 3.5–3.7'!AM11+'Tabell 3.5–3.7'!AM15+'Tabell 3.5–3.7'!AM17,0)</f>
        <v>335</v>
      </c>
      <c r="T56" s="338"/>
      <c r="U56" s="338">
        <f>ROUND('Tabell 3.5–3.7'!AO11+'Tabell 3.5–3.7'!AO15+'Tabell 3.5–3.7'!AO17,0)</f>
        <v>330</v>
      </c>
      <c r="V56" s="338"/>
      <c r="W56" s="338">
        <f>ROUND(SUM('Tabell 3.5–3.7'!AQ11,'Tabell 3.5–3.7'!AQ15,'Tabell 3.5–3.7'!AQ17),0)</f>
        <v>290</v>
      </c>
      <c r="X56" s="338"/>
      <c r="Y56" s="338">
        <f>ROUND(SUM('Tabell 3.5–3.7'!AS11,'Tabell 3.5–3.7'!AS15,'Tabell 3.5–3.7'!AS17),0)</f>
        <v>333</v>
      </c>
      <c r="Z56" s="239"/>
      <c r="AA56" s="336"/>
      <c r="AC56" s="237" t="str">
        <f t="shared" si="2"/>
        <v>Railway Transport/Transport Equipment/Passenger railway vehicles/Number at 31.12/By type of vehicle/Coaches,A-II-03-07-25_1-0_0,333,,</v>
      </c>
      <c r="AD56" s="239"/>
    </row>
    <row r="57" spans="1:30">
      <c r="A57" s="331" t="s">
        <v>1292</v>
      </c>
      <c r="B57" s="332" t="s">
        <v>935</v>
      </c>
      <c r="C57" s="334"/>
      <c r="D57" s="334"/>
      <c r="E57" s="335">
        <f>ROUND('Tabell 3.5–3.7'!Y21,0)</f>
        <v>1823</v>
      </c>
      <c r="F57" s="335"/>
      <c r="G57" s="335">
        <f>ROUND('Tabell 3.5–3.7'!AA21,0)</f>
        <v>1910</v>
      </c>
      <c r="H57" s="335"/>
      <c r="I57" s="335">
        <f>ROUND('Tabell 3.5–3.7'!AC21,0)</f>
        <v>2133</v>
      </c>
      <c r="J57" s="335"/>
      <c r="K57" s="335">
        <f>ROUND('Tabell 3.5–3.7'!AE21,0)</f>
        <v>2206</v>
      </c>
      <c r="L57" s="335"/>
      <c r="M57" s="335">
        <f>ROUND('Tabell 3.5–3.7'!AG21,0)</f>
        <v>2307</v>
      </c>
      <c r="N57" s="335"/>
      <c r="O57" s="335">
        <f>ROUND('Tabell 3.5–3.7'!AI21,0)</f>
        <v>2347</v>
      </c>
      <c r="P57" s="335"/>
      <c r="Q57" s="335">
        <f>ROUND('Tabell 3.5–3.7'!AK21,0)</f>
        <v>2433</v>
      </c>
      <c r="R57" s="335"/>
      <c r="S57" s="335">
        <f>ROUND('Tabell 3.5–3.7'!AM21,0)</f>
        <v>2557</v>
      </c>
      <c r="T57" s="335"/>
      <c r="U57" s="335">
        <f>ROUND('Tabell 3.5–3.7'!AO21,0)</f>
        <v>2607</v>
      </c>
      <c r="V57" s="335"/>
      <c r="W57" s="335">
        <f>ROUND('Tabell 3.5–3.7'!AQ21,0)</f>
        <v>2658</v>
      </c>
      <c r="X57" s="335"/>
      <c r="Y57" s="335">
        <f>ROUND('Tabell 3.5–3.7'!AS21,0)</f>
        <v>2802</v>
      </c>
      <c r="AA57" s="336"/>
      <c r="AC57" s="237" t="str">
        <f t="shared" si="2"/>
        <v>Railway Transport/Transport Equipment/Passenger railway vehicles/Number at 31.12/By type of vehicle/Passenger railcars and railcar trailers,A-II-03-07-25_2-0_0,2802,,</v>
      </c>
      <c r="AD57" s="239"/>
    </row>
    <row r="58" spans="1:30">
      <c r="A58" s="331" t="s">
        <v>1293</v>
      </c>
      <c r="B58" s="332" t="s">
        <v>936</v>
      </c>
      <c r="C58" s="334"/>
      <c r="D58" s="334"/>
      <c r="E58" s="339">
        <f>ROUND('Tabell 3.5–3.7'!Y42/1000,0)</f>
        <v>145</v>
      </c>
      <c r="F58" s="339"/>
      <c r="G58" s="339">
        <f>ROUND('Tabell 3.5–3.7'!AA42/1000,0)</f>
        <v>149</v>
      </c>
      <c r="H58" s="339"/>
      <c r="I58" s="339">
        <f>ROUND('Tabell 3.5–3.7'!AC42/1000,0)</f>
        <v>173</v>
      </c>
      <c r="J58" s="339"/>
      <c r="K58" s="339">
        <f>ROUND('Tabell 3.5–3.7'!AE42/1000,0)</f>
        <v>178</v>
      </c>
      <c r="L58" s="339"/>
      <c r="M58" s="339">
        <f>ROUND('Tabell 3.5–3.7'!AG42/1000,0)</f>
        <v>185</v>
      </c>
      <c r="N58" s="339"/>
      <c r="O58" s="339">
        <f>ROUND('Tabell 3.5–3.7'!AI42/1000,0)</f>
        <v>188</v>
      </c>
      <c r="P58" s="339"/>
      <c r="Q58" s="339">
        <f>ROUND('Tabell 3.5–3.7'!AK42/1000,0)</f>
        <v>193</v>
      </c>
      <c r="R58" s="339"/>
      <c r="S58" s="339">
        <f>ROUND('Tabell 3.5–3.7'!AM42/1000,0)</f>
        <v>195</v>
      </c>
      <c r="T58" s="339"/>
      <c r="U58" s="339">
        <f>ROUND('Tabell 3.5–3.7'!AO42/1000,0)</f>
        <v>196</v>
      </c>
      <c r="V58" s="339"/>
      <c r="W58" s="339">
        <f>ROUND('Tabell 3.5–3.7'!AQ42/1000,0)</f>
        <v>197</v>
      </c>
      <c r="X58" s="339"/>
      <c r="Y58" s="339">
        <f>ROUND('Tabell 3.5–3.7'!AS42/1000,0)</f>
        <v>213</v>
      </c>
      <c r="AA58" s="336"/>
      <c r="AC58" s="237" t="str">
        <f t="shared" si="2"/>
        <v>Railway Transport/Transport Equipment/Passenger railway vehicles/Number of seats and berths [II-11] at 31.12 (1000)/Total,A-II-03-14-0_0-0_0,213,,</v>
      </c>
      <c r="AD58" s="239"/>
    </row>
    <row r="59" spans="1:30">
      <c r="A59" s="331" t="s">
        <v>1294</v>
      </c>
      <c r="B59" s="332" t="s">
        <v>937</v>
      </c>
      <c r="C59" s="334"/>
      <c r="D59" s="334"/>
      <c r="E59" s="335">
        <f>ROUND(('Tabell 3.5–3.7'!Y42-'Tabell 3.5–3.7'!Y32)/1000,0)</f>
        <v>28</v>
      </c>
      <c r="F59" s="335"/>
      <c r="G59" s="335">
        <f>ROUND(('Tabell 3.5–3.7'!AA42-'Tabell 3.5–3.7'!AA32)/1000,0)</f>
        <v>27</v>
      </c>
      <c r="H59" s="335"/>
      <c r="I59" s="335">
        <f>ROUND(('Tabell 3.5–3.7'!AC42-'Tabell 3.5–3.7'!AC32)/1000,0)</f>
        <v>29</v>
      </c>
      <c r="J59" s="335"/>
      <c r="K59" s="335">
        <f>ROUND(('Tabell 3.5–3.7'!AE42-'Tabell 3.5–3.7'!AE32)/1000,0)</f>
        <v>28</v>
      </c>
      <c r="L59" s="335"/>
      <c r="M59" s="335">
        <f>ROUND(('Tabell 3.5–3.7'!AG42-'Tabell 3.5–3.7'!AG32)/1000,0)</f>
        <v>29</v>
      </c>
      <c r="N59" s="335"/>
      <c r="O59" s="335">
        <f>ROUND(('Tabell 3.5–3.7'!AI42-'Tabell 3.5–3.7'!AI32)/1000,0)</f>
        <v>29</v>
      </c>
      <c r="P59" s="335"/>
      <c r="Q59" s="335">
        <f>ROUND(('Tabell 3.5–3.7'!AK42-'Tabell 3.5–3.7'!AK32)/1000,0)</f>
        <v>31</v>
      </c>
      <c r="R59" s="335"/>
      <c r="S59" s="335">
        <f>ROUND(('Tabell 3.5–3.7'!AM42-'Tabell 3.5–3.7'!AM32)/1000,0)</f>
        <v>28</v>
      </c>
      <c r="T59" s="335"/>
      <c r="U59" s="335">
        <f>ROUND(('Tabell 3.5–3.7'!AO42-'Tabell 3.5–3.7'!AO32)/1000,0)</f>
        <v>27</v>
      </c>
      <c r="V59" s="335"/>
      <c r="W59" s="335">
        <f>ROUND(('Tabell 3.5–3.7'!AQ42-'Tabell 3.5–3.7'!AQ32)/1000,0)</f>
        <v>25</v>
      </c>
      <c r="X59" s="335"/>
      <c r="Y59" s="335">
        <f>ROUND(('Tabell 3.5–3.7'!AS42-'Tabell 3.5–3.7'!AS32)/1000,0)</f>
        <v>28</v>
      </c>
      <c r="AA59" s="336"/>
      <c r="AC59" s="237" t="str">
        <f t="shared" si="2"/>
        <v>Railway Transport/Transport Equipment/Passenger railway vehicles/Number of seats and berths [II-11] at 31.12 (1000)/By type of vehicle/Coaches,A-II-03-14-25_1-0_0,28,,</v>
      </c>
      <c r="AD59" s="239"/>
    </row>
    <row r="60" spans="1:30">
      <c r="A60" s="331" t="s">
        <v>1295</v>
      </c>
      <c r="B60" s="332" t="s">
        <v>938</v>
      </c>
      <c r="C60" s="334"/>
      <c r="D60" s="334"/>
      <c r="E60" s="335">
        <f>ROUND('Tabell 3.5–3.7'!Y32/1000,0)</f>
        <v>118</v>
      </c>
      <c r="F60" s="335"/>
      <c r="G60" s="335">
        <f>ROUND('Tabell 3.5–3.7'!AA32/1000,0)</f>
        <v>122</v>
      </c>
      <c r="H60" s="335"/>
      <c r="I60" s="335">
        <f>ROUND('Tabell 3.5–3.7'!AC32/1000,0)</f>
        <v>145</v>
      </c>
      <c r="J60" s="335"/>
      <c r="K60" s="335">
        <f>ROUND('Tabell 3.5–3.7'!AE32/1000,0)</f>
        <v>149</v>
      </c>
      <c r="L60" s="335"/>
      <c r="M60" s="335">
        <f>ROUND('Tabell 3.5–3.7'!AG32/1000,0)</f>
        <v>157</v>
      </c>
      <c r="N60" s="335"/>
      <c r="O60" s="335">
        <f>ROUND('Tabell 3.5–3.7'!AI32/1000,0)</f>
        <v>159</v>
      </c>
      <c r="P60" s="335"/>
      <c r="Q60" s="335">
        <f>ROUND('Tabell 3.5–3.7'!AK32/1000,0)</f>
        <v>162</v>
      </c>
      <c r="R60" s="335"/>
      <c r="S60" s="335">
        <f>ROUND('Tabell 3.5–3.7'!AM32/1000,0)</f>
        <v>167</v>
      </c>
      <c r="T60" s="335"/>
      <c r="U60" s="335">
        <f>ROUND('Tabell 3.5–3.7'!AO32/1000,0)</f>
        <v>169</v>
      </c>
      <c r="V60" s="335"/>
      <c r="W60" s="335">
        <f>ROUND('Tabell 3.5–3.7'!AQ32/1000,0)</f>
        <v>172</v>
      </c>
      <c r="X60" s="335"/>
      <c r="Y60" s="335">
        <f>ROUND('Tabell 3.5–3.7'!AS32/1000,0)</f>
        <v>185</v>
      </c>
      <c r="AA60" s="336"/>
      <c r="AC60" s="237" t="str">
        <f t="shared" si="2"/>
        <v>Railway Transport/Transport Equipment/Passenger railway vehicles/Number of seats and berths [II-11] at 31.12 (1000)/By type of vehicle/Passenger railcars and railcar trailers,A-II-03-14-25_2-0_0,185,,</v>
      </c>
      <c r="AD60" s="239"/>
    </row>
    <row r="61" spans="1:30">
      <c r="A61" s="331" t="s">
        <v>1296</v>
      </c>
      <c r="B61" s="332" t="s">
        <v>939</v>
      </c>
      <c r="C61" s="334"/>
      <c r="D61" s="334"/>
      <c r="E61" s="339">
        <f>ROUND('Tabell 3.5–3.7'!Y35/1000,0)</f>
        <v>139</v>
      </c>
      <c r="F61" s="339"/>
      <c r="G61" s="339">
        <f>ROUND('Tabell 3.5–3.7'!AA35/1000,0)</f>
        <v>144</v>
      </c>
      <c r="H61" s="339"/>
      <c r="I61" s="339">
        <f>ROUND('Tabell 3.5–3.7'!AC35/1000,0)</f>
        <v>168</v>
      </c>
      <c r="J61" s="339"/>
      <c r="K61" s="339">
        <f>ROUND('Tabell 3.5–3.7'!AE35/1000,0)</f>
        <v>173</v>
      </c>
      <c r="L61" s="339"/>
      <c r="M61" s="339">
        <f>ROUND('Tabell 3.5–3.7'!AG35/1000,0)</f>
        <v>180</v>
      </c>
      <c r="N61" s="339"/>
      <c r="O61" s="339">
        <f>ROUND('Tabell 3.5–3.7'!AI35/1000,0)</f>
        <v>183</v>
      </c>
      <c r="P61" s="339"/>
      <c r="Q61" s="339">
        <f>ROUND('Tabell 3.5–3.7'!AK35/1000,0)</f>
        <v>188</v>
      </c>
      <c r="R61" s="339"/>
      <c r="S61" s="339">
        <f>ROUND('Tabell 3.5–3.7'!AM35/1000,0)</f>
        <v>190</v>
      </c>
      <c r="T61" s="339"/>
      <c r="U61" s="339">
        <f>ROUND('Tabell 3.5–3.7'!AO35/1000,0)</f>
        <v>191</v>
      </c>
      <c r="V61" s="339"/>
      <c r="W61" s="339">
        <f>ROUND('Tabell 3.5–3.7'!AQ35/1000,0)</f>
        <v>191</v>
      </c>
      <c r="X61" s="339"/>
      <c r="Y61" s="339">
        <f>ROUND('Tabell 3.5–3.7'!AS35/1000,0)</f>
        <v>207</v>
      </c>
      <c r="AA61" s="336"/>
      <c r="AC61" s="237" t="str">
        <f t="shared" si="2"/>
        <v>Railway Transport/Transport Equipment/Passenger railway vehicles/Number at 31.12 (1000)/By category of seats or berths/Seats,A-II-03-14-01_3-0_0,207,,</v>
      </c>
      <c r="AD61" s="239"/>
    </row>
    <row r="62" spans="1:30">
      <c r="A62" s="331" t="s">
        <v>1297</v>
      </c>
      <c r="B62" s="332" t="s">
        <v>940</v>
      </c>
      <c r="C62" s="334"/>
      <c r="D62" s="334"/>
      <c r="E62" s="339">
        <f>ROUND('Tabell 3.5–3.7'!Y40/1000,0)</f>
        <v>7</v>
      </c>
      <c r="F62" s="339"/>
      <c r="G62" s="339">
        <f>ROUND('Tabell 3.5–3.7'!AA40/1000,0)</f>
        <v>5</v>
      </c>
      <c r="H62" s="339"/>
      <c r="I62" s="339">
        <f>ROUND('Tabell 3.5–3.7'!AC40/1000,0)</f>
        <v>5</v>
      </c>
      <c r="J62" s="339"/>
      <c r="K62" s="339">
        <f>ROUND('Tabell 3.5–3.7'!AE40/1000,0)</f>
        <v>5</v>
      </c>
      <c r="L62" s="339"/>
      <c r="M62" s="339">
        <f>ROUND('Tabell 3.5–3.7'!AG40/1000,0)</f>
        <v>5</v>
      </c>
      <c r="N62" s="339"/>
      <c r="O62" s="339">
        <f>ROUND('Tabell 3.5–3.7'!AI40/1000,0)</f>
        <v>5</v>
      </c>
      <c r="P62" s="339"/>
      <c r="Q62" s="339">
        <f>ROUND('Tabell 3.5–3.7'!AK40/1000,0)</f>
        <v>5</v>
      </c>
      <c r="R62" s="339"/>
      <c r="S62" s="339">
        <f>ROUND('Tabell 3.5–3.7'!AM40/1000,0)</f>
        <v>5</v>
      </c>
      <c r="T62" s="339"/>
      <c r="U62" s="339">
        <f>ROUND('Tabell 3.5–3.7'!AO40/1000,0)</f>
        <v>5</v>
      </c>
      <c r="V62" s="339"/>
      <c r="W62" s="339">
        <f>ROUND('Tabell 3.5–3.7'!AQ40/1000,0)</f>
        <v>5</v>
      </c>
      <c r="X62" s="339"/>
      <c r="Y62" s="339">
        <f>ROUND('Tabell 3.5–3.7'!AS40/1000,0)</f>
        <v>6</v>
      </c>
      <c r="AA62" s="336"/>
      <c r="AC62" s="237" t="str">
        <f t="shared" si="2"/>
        <v>Railway Transport/Transport Equipment/Passenger railway vehicles/Number at 31.12 (1000)/By category of seats or berths/Berths (couchettes and sleeping cars),A-II-03-14-01_4-0_0,6,,</v>
      </c>
      <c r="AD62" s="239"/>
    </row>
    <row r="63" spans="1:30">
      <c r="A63" s="331" t="s">
        <v>1298</v>
      </c>
      <c r="B63" s="332" t="s">
        <v>941</v>
      </c>
      <c r="C63" s="334"/>
      <c r="D63" s="334"/>
      <c r="E63" s="335">
        <f>ROUND('Tabell 3.5–3.7'!Y15+'Tabell 3.5–3.7'!Y17,0)</f>
        <v>22</v>
      </c>
      <c r="F63" s="335"/>
      <c r="G63" s="335">
        <f>ROUND('Tabell 3.5–3.7'!AA15+'Tabell 3.5–3.7'!AA17,0)</f>
        <v>19</v>
      </c>
      <c r="H63" s="335"/>
      <c r="I63" s="335">
        <f>ROUND('Tabell 3.5–3.7'!AC15+'Tabell 3.5–3.7'!AC17,0)</f>
        <v>17</v>
      </c>
      <c r="J63" s="335"/>
      <c r="K63" s="335">
        <f>ROUND('Tabell 3.5–3.7'!AE15+'Tabell 3.5–3.7'!AE17,0)</f>
        <v>15</v>
      </c>
      <c r="L63" s="335"/>
      <c r="M63" s="335">
        <f>IF('Tabell 3.5–3.7'!AG15&lt;&gt;"–",(ROUND('Tabell 3.5–3.7'!AG15+'Tabell 3.5–3.7'!AG17,0)),(ROUND('Tabell 3.5–3.7'!AG17,0)))</f>
        <v>3</v>
      </c>
      <c r="N63" s="335"/>
      <c r="O63" s="335">
        <f>IF('Tabell 3.5–3.7'!AI15&lt;&gt;"–",(ROUND('Tabell 3.5–3.7'!AI15+'Tabell 3.5–3.7'!AI17,0)),(ROUND('Tabell 3.5–3.7'!AI17,0)))</f>
        <v>4</v>
      </c>
      <c r="P63" s="335"/>
      <c r="Q63" s="335">
        <f>IF('Tabell 3.5–3.7'!AK15&lt;&gt;"–",(ROUND('Tabell 3.5–3.7'!AK15+'Tabell 3.5–3.7'!AK17,0)),(ROUND('Tabell 3.5–3.7'!AK17,0)))</f>
        <v>4</v>
      </c>
      <c r="R63" s="335"/>
      <c r="S63" s="335">
        <f>IF('Tabell 3.5–3.7'!AM15&lt;&gt;"–",(ROUND('Tabell 3.5–3.7'!AM15+'Tabell 3.5–3.7'!AM17,0)),(ROUND('Tabell 3.5–3.7'!AM17,0)))</f>
        <v>2</v>
      </c>
      <c r="T63" s="335"/>
      <c r="U63" s="335">
        <f>IF('Tabell 3.5–3.7'!AO15&lt;&gt;"–",(ROUND('Tabell 3.5–3.7'!AO15+'Tabell 3.5–3.7'!AO17,0)),(ROUND('Tabell 3.5–3.7'!AO17,0)))</f>
        <v>2</v>
      </c>
      <c r="V63" s="335"/>
      <c r="W63" s="335">
        <f>IF('Tabell 3.5–3.7'!AQ15&lt;&gt;"–",(ROUND(SUM('Tabell 3.5–3.7'!AQ15,'Tabell 3.5–3.7'!AQ17),0)),(ROUND('Tabell 3.5–3.7'!AQ17,0)))</f>
        <v>1</v>
      </c>
      <c r="X63" s="335"/>
      <c r="Y63" s="335">
        <f>IF('Tabell 3.5–3.7'!AS15&lt;&gt;"–",(ROUND(SUM('Tabell 3.5–3.7'!AS15,'Tabell 3.5–3.7'!AS17),0)),(ROUND('Tabell 3.5–3.7'!AS17,0)))</f>
        <v>1</v>
      </c>
      <c r="AA63" s="336"/>
      <c r="AC63" s="237" t="str">
        <f t="shared" si="2"/>
        <v>Railway Transport/Transport Equipment/Vans/Number at 31.12/Total,A-II-04-07-0_0-0_0,1,,</v>
      </c>
      <c r="AD63" s="239"/>
    </row>
    <row r="64" spans="1:30">
      <c r="A64" s="331" t="s">
        <v>1299</v>
      </c>
      <c r="B64" s="332" t="s">
        <v>942</v>
      </c>
      <c r="C64" s="334" t="s">
        <v>884</v>
      </c>
      <c r="D64" s="334"/>
      <c r="E64" s="337"/>
      <c r="F64" s="337"/>
      <c r="G64" s="337"/>
      <c r="H64" s="337"/>
      <c r="I64" s="337"/>
      <c r="J64" s="337"/>
      <c r="K64" s="337"/>
      <c r="L64" s="337"/>
      <c r="M64" s="337"/>
      <c r="N64" s="337"/>
      <c r="O64" s="337"/>
      <c r="P64" s="337"/>
      <c r="Q64" s="337"/>
      <c r="R64" s="337"/>
      <c r="S64" s="337"/>
      <c r="T64" s="337"/>
      <c r="U64" s="337"/>
      <c r="V64" s="337"/>
      <c r="W64" s="337"/>
      <c r="X64" s="337"/>
      <c r="Y64" s="337"/>
      <c r="AA64" s="336"/>
      <c r="AC64" s="237" t="str">
        <f t="shared" si="2"/>
        <v>Railway Transport/Transport Equipment/Wagons/Number at 31.12/Total,A-II-05-07-0_0-0_0,,:,</v>
      </c>
      <c r="AD64" s="239"/>
    </row>
    <row r="65" spans="1:30">
      <c r="A65" s="331" t="s">
        <v>1300</v>
      </c>
      <c r="B65" s="332" t="s">
        <v>943</v>
      </c>
      <c r="C65" s="334" t="s">
        <v>884</v>
      </c>
      <c r="D65" s="334"/>
      <c r="E65" s="337"/>
      <c r="F65" s="337"/>
      <c r="G65" s="337"/>
      <c r="H65" s="337"/>
      <c r="I65" s="337"/>
      <c r="J65" s="337"/>
      <c r="K65" s="337"/>
      <c r="L65" s="337"/>
      <c r="M65" s="337"/>
      <c r="N65" s="337"/>
      <c r="O65" s="337"/>
      <c r="P65" s="337"/>
      <c r="Q65" s="337"/>
      <c r="R65" s="337"/>
      <c r="S65" s="337"/>
      <c r="T65" s="337"/>
      <c r="U65" s="337"/>
      <c r="V65" s="337"/>
      <c r="W65" s="337"/>
      <c r="X65" s="337"/>
      <c r="Y65" s="337"/>
      <c r="AA65" s="336"/>
      <c r="AC65" s="237" t="str">
        <f t="shared" si="2"/>
        <v>Railway Transport/Transport Equipment/Wagons/Number at 31.12/By type of wagon/Covered wagons,A-II-05-07-26_1-0_0,,:,</v>
      </c>
      <c r="AD65" s="239"/>
    </row>
    <row r="66" spans="1:30">
      <c r="A66" s="331" t="s">
        <v>1301</v>
      </c>
      <c r="B66" s="332" t="s">
        <v>944</v>
      </c>
      <c r="C66" s="334" t="s">
        <v>884</v>
      </c>
      <c r="D66" s="334"/>
      <c r="E66" s="337"/>
      <c r="F66" s="337"/>
      <c r="G66" s="337"/>
      <c r="H66" s="337"/>
      <c r="I66" s="337"/>
      <c r="J66" s="337"/>
      <c r="K66" s="337"/>
      <c r="L66" s="337"/>
      <c r="M66" s="337"/>
      <c r="N66" s="337"/>
      <c r="O66" s="337"/>
      <c r="P66" s="337"/>
      <c r="Q66" s="337"/>
      <c r="R66" s="337"/>
      <c r="S66" s="337"/>
      <c r="T66" s="337"/>
      <c r="U66" s="337"/>
      <c r="V66" s="337"/>
      <c r="W66" s="337"/>
      <c r="X66" s="337"/>
      <c r="Y66" s="337"/>
      <c r="AA66" s="336"/>
      <c r="AC66" s="237" t="str">
        <f t="shared" ref="AC66:AC97" si="3">CONCATENATE(B66,",",A66,",",Y66,",",C66,",",D66)</f>
        <v>Railway Transport/Transport Equipment/Wagons/Number at 31.12/By type of wagon/High sided wagons,A-II-05-07-26_2-0_0,,:,</v>
      </c>
      <c r="AD66" s="239"/>
    </row>
    <row r="67" spans="1:30">
      <c r="A67" s="331" t="s">
        <v>1302</v>
      </c>
      <c r="B67" s="332" t="s">
        <v>945</v>
      </c>
      <c r="C67" s="334" t="s">
        <v>884</v>
      </c>
      <c r="D67" s="334"/>
      <c r="E67" s="337"/>
      <c r="F67" s="337"/>
      <c r="G67" s="337"/>
      <c r="H67" s="337"/>
      <c r="I67" s="337"/>
      <c r="J67" s="337"/>
      <c r="K67" s="337"/>
      <c r="L67" s="337"/>
      <c r="M67" s="337"/>
      <c r="N67" s="337"/>
      <c r="O67" s="337"/>
      <c r="P67" s="337"/>
      <c r="Q67" s="337"/>
      <c r="R67" s="337"/>
      <c r="S67" s="337"/>
      <c r="T67" s="337"/>
      <c r="U67" s="337"/>
      <c r="V67" s="337"/>
      <c r="W67" s="337"/>
      <c r="X67" s="337"/>
      <c r="Y67" s="337"/>
      <c r="AA67" s="336"/>
      <c r="AC67" s="237" t="str">
        <f t="shared" si="3"/>
        <v>Railway Transport/Transport Equipment/Wagons/Number at 31.12/By type of wagon/Flat wagons,A-II-05-07-26_3-0_0,,:,</v>
      </c>
      <c r="AD67" s="239"/>
    </row>
    <row r="68" spans="1:30">
      <c r="A68" s="331" t="s">
        <v>1303</v>
      </c>
      <c r="B68" s="332" t="s">
        <v>946</v>
      </c>
      <c r="C68" s="334" t="s">
        <v>884</v>
      </c>
      <c r="D68" s="334"/>
      <c r="E68" s="337"/>
      <c r="F68" s="337"/>
      <c r="G68" s="337"/>
      <c r="H68" s="337"/>
      <c r="I68" s="337"/>
      <c r="J68" s="337"/>
      <c r="K68" s="337"/>
      <c r="L68" s="337"/>
      <c r="M68" s="337"/>
      <c r="N68" s="337"/>
      <c r="O68" s="337"/>
      <c r="P68" s="337"/>
      <c r="Q68" s="337"/>
      <c r="R68" s="337"/>
      <c r="S68" s="337"/>
      <c r="T68" s="337"/>
      <c r="U68" s="337"/>
      <c r="V68" s="337"/>
      <c r="W68" s="337"/>
      <c r="X68" s="337"/>
      <c r="Y68" s="337"/>
      <c r="AA68" s="336"/>
      <c r="AC68" s="237" t="str">
        <f t="shared" si="3"/>
        <v>Railway Transport/Transport Equipment/Wagons/Number at 31.12/By type of wagon/Wagons for intermodal transport,A-II-05-07-26_5-0_0,,:,</v>
      </c>
      <c r="AD68" s="239"/>
    </row>
    <row r="69" spans="1:30">
      <c r="A69" s="331" t="s">
        <v>1304</v>
      </c>
      <c r="B69" s="332" t="s">
        <v>947</v>
      </c>
      <c r="C69" s="334" t="s">
        <v>884</v>
      </c>
      <c r="D69" s="334"/>
      <c r="E69" s="337"/>
      <c r="F69" s="337"/>
      <c r="G69" s="337"/>
      <c r="H69" s="337"/>
      <c r="I69" s="337"/>
      <c r="J69" s="337"/>
      <c r="K69" s="337"/>
      <c r="L69" s="337"/>
      <c r="M69" s="337"/>
      <c r="N69" s="337"/>
      <c r="O69" s="337"/>
      <c r="P69" s="337"/>
      <c r="Q69" s="337"/>
      <c r="R69" s="337"/>
      <c r="S69" s="337"/>
      <c r="T69" s="337"/>
      <c r="U69" s="337"/>
      <c r="V69" s="337"/>
      <c r="W69" s="337"/>
      <c r="X69" s="337"/>
      <c r="Y69" s="337"/>
      <c r="AA69" s="336"/>
      <c r="AC69" s="237" t="str">
        <f t="shared" si="3"/>
        <v>Railway Transport/Transport Equipment/Wagons/Number at 31.12/By type of wagon/Other wagons,A-II-05-07-26_4-0_0,,:,</v>
      </c>
      <c r="AD69" s="239"/>
    </row>
    <row r="70" spans="1:30">
      <c r="A70" s="331" t="s">
        <v>1305</v>
      </c>
      <c r="B70" s="332" t="s">
        <v>948</v>
      </c>
      <c r="C70" s="334" t="s">
        <v>884</v>
      </c>
      <c r="D70" s="334"/>
      <c r="E70" s="337"/>
      <c r="F70" s="337"/>
      <c r="G70" s="337"/>
      <c r="H70" s="337"/>
      <c r="I70" s="337"/>
      <c r="J70" s="337"/>
      <c r="K70" s="337"/>
      <c r="L70" s="337"/>
      <c r="M70" s="337"/>
      <c r="N70" s="337"/>
      <c r="O70" s="337"/>
      <c r="P70" s="337"/>
      <c r="Q70" s="337"/>
      <c r="R70" s="337"/>
      <c r="S70" s="337"/>
      <c r="T70" s="337"/>
      <c r="U70" s="337"/>
      <c r="V70" s="337"/>
      <c r="W70" s="337"/>
      <c r="X70" s="337"/>
      <c r="Y70" s="337"/>
      <c r="AA70" s="336"/>
      <c r="AC70" s="237" t="str">
        <f t="shared" si="3"/>
        <v>Railway Transport/Transport Equipment/Wagons/Capacity [II-25] at 31.12 (1000 tonnes)/Total,A-II-05-02-0_0-0_0,,:,</v>
      </c>
      <c r="AD70" s="239"/>
    </row>
    <row r="71" spans="1:30">
      <c r="A71" s="331" t="s">
        <v>1306</v>
      </c>
      <c r="B71" s="332" t="s">
        <v>949</v>
      </c>
      <c r="C71" s="334" t="s">
        <v>884</v>
      </c>
      <c r="D71" s="334"/>
      <c r="E71" s="337"/>
      <c r="F71" s="337"/>
      <c r="G71" s="337"/>
      <c r="H71" s="337"/>
      <c r="I71" s="337"/>
      <c r="J71" s="337"/>
      <c r="K71" s="337"/>
      <c r="L71" s="337"/>
      <c r="M71" s="337"/>
      <c r="N71" s="337"/>
      <c r="O71" s="337"/>
      <c r="P71" s="337"/>
      <c r="Q71" s="337"/>
      <c r="R71" s="337"/>
      <c r="S71" s="337"/>
      <c r="T71" s="337"/>
      <c r="U71" s="337"/>
      <c r="V71" s="337"/>
      <c r="W71" s="337"/>
      <c r="X71" s="337"/>
      <c r="Y71" s="337"/>
      <c r="AA71" s="336"/>
      <c r="AC71" s="237" t="str">
        <f t="shared" si="3"/>
        <v>Railway Transport/Transport Equipment/Wagons/Capacity [II-25] at 31.12 (1000 tonnes)/By type of wagon/Covered wagons,A-II-05-02-26_1-0_0,,:,</v>
      </c>
      <c r="AD71" s="239"/>
    </row>
    <row r="72" spans="1:30">
      <c r="A72" s="331" t="s">
        <v>1307</v>
      </c>
      <c r="B72" s="332" t="s">
        <v>950</v>
      </c>
      <c r="C72" s="334" t="s">
        <v>884</v>
      </c>
      <c r="D72" s="334"/>
      <c r="E72" s="337"/>
      <c r="F72" s="337"/>
      <c r="G72" s="337"/>
      <c r="H72" s="337"/>
      <c r="I72" s="337"/>
      <c r="J72" s="337"/>
      <c r="K72" s="337"/>
      <c r="L72" s="337"/>
      <c r="M72" s="337"/>
      <c r="N72" s="337"/>
      <c r="O72" s="337"/>
      <c r="P72" s="337"/>
      <c r="Q72" s="337"/>
      <c r="R72" s="337"/>
      <c r="S72" s="337"/>
      <c r="T72" s="337"/>
      <c r="U72" s="337"/>
      <c r="V72" s="337"/>
      <c r="W72" s="337"/>
      <c r="X72" s="337"/>
      <c r="Y72" s="337"/>
      <c r="AA72" s="336"/>
      <c r="AC72" s="237" t="str">
        <f t="shared" si="3"/>
        <v>Railway Transport/Transport Equipment/Wagons/Capacity [II-25] at 31.12 (1000 tonnes)/By type of wagon/High sided wagons,A-II-05-02-26_2-0_0,,:,</v>
      </c>
      <c r="AD72" s="239"/>
    </row>
    <row r="73" spans="1:30">
      <c r="A73" s="331" t="s">
        <v>1308</v>
      </c>
      <c r="B73" s="332" t="s">
        <v>951</v>
      </c>
      <c r="C73" s="334" t="s">
        <v>884</v>
      </c>
      <c r="D73" s="334"/>
      <c r="E73" s="337"/>
      <c r="F73" s="337"/>
      <c r="G73" s="337"/>
      <c r="H73" s="337"/>
      <c r="I73" s="337"/>
      <c r="J73" s="337"/>
      <c r="K73" s="337"/>
      <c r="L73" s="337"/>
      <c r="M73" s="337"/>
      <c r="N73" s="337"/>
      <c r="O73" s="337"/>
      <c r="P73" s="337"/>
      <c r="Q73" s="337"/>
      <c r="R73" s="337"/>
      <c r="S73" s="337"/>
      <c r="T73" s="337"/>
      <c r="U73" s="337"/>
      <c r="V73" s="337"/>
      <c r="W73" s="337"/>
      <c r="X73" s="337"/>
      <c r="Y73" s="337"/>
      <c r="AA73" s="336"/>
      <c r="AC73" s="237" t="str">
        <f t="shared" si="3"/>
        <v>Railway Transport/Transport Equipment/Wagons/Capacity [II-25] at 31.12 (1000 tonnes)/By type of wagon/Flat wagons,A-II-05-02-26_3-0_0,,:,</v>
      </c>
      <c r="AD73" s="239"/>
    </row>
    <row r="74" spans="1:30">
      <c r="A74" s="331" t="s">
        <v>1309</v>
      </c>
      <c r="B74" s="332" t="s">
        <v>952</v>
      </c>
      <c r="C74" s="334" t="s">
        <v>884</v>
      </c>
      <c r="D74" s="334"/>
      <c r="E74" s="337"/>
      <c r="F74" s="337"/>
      <c r="G74" s="337"/>
      <c r="H74" s="337"/>
      <c r="I74" s="337"/>
      <c r="J74" s="337"/>
      <c r="K74" s="337"/>
      <c r="L74" s="337"/>
      <c r="M74" s="337"/>
      <c r="N74" s="337"/>
      <c r="O74" s="337"/>
      <c r="P74" s="337"/>
      <c r="Q74" s="337"/>
      <c r="R74" s="337"/>
      <c r="S74" s="337"/>
      <c r="T74" s="337"/>
      <c r="U74" s="337"/>
      <c r="V74" s="337"/>
      <c r="W74" s="337"/>
      <c r="X74" s="337"/>
      <c r="Y74" s="337"/>
      <c r="AA74" s="336"/>
      <c r="AC74" s="237" t="str">
        <f t="shared" si="3"/>
        <v>Railway Transport/Transport Equipment/Wagons/Capacity [II-25] at 31.12 (1000 tonnes)/By type of wagon/Other wagons,A-II-05-02-26_4-0_0,,:,</v>
      </c>
      <c r="AD74" s="239"/>
    </row>
    <row r="75" spans="1:30">
      <c r="A75" s="331" t="s">
        <v>1310</v>
      </c>
      <c r="B75" s="332" t="s">
        <v>953</v>
      </c>
      <c r="C75" s="334" t="s">
        <v>884</v>
      </c>
      <c r="D75" s="334"/>
      <c r="E75" s="337"/>
      <c r="F75" s="337"/>
      <c r="G75" s="337"/>
      <c r="H75" s="337"/>
      <c r="I75" s="337"/>
      <c r="J75" s="337"/>
      <c r="K75" s="337"/>
      <c r="L75" s="337"/>
      <c r="M75" s="337"/>
      <c r="N75" s="337"/>
      <c r="O75" s="337"/>
      <c r="P75" s="337"/>
      <c r="Q75" s="337"/>
      <c r="R75" s="337"/>
      <c r="S75" s="337"/>
      <c r="T75" s="337"/>
      <c r="U75" s="337"/>
      <c r="V75" s="337"/>
      <c r="W75" s="337"/>
      <c r="X75" s="337"/>
      <c r="Y75" s="337"/>
      <c r="AA75" s="336"/>
      <c r="AC75" s="237" t="str">
        <f t="shared" si="3"/>
        <v>Railway Transport/Transport Equipment/Wagons/Capacity [II-25] at 31.12 (1000 tonnes)/By type of wagon/Wagons for intermodal transport,A-II-05-02-26_5-0_0,,:,</v>
      </c>
      <c r="AD75" s="239"/>
    </row>
    <row r="76" spans="1:30">
      <c r="A76" s="331" t="s">
        <v>1311</v>
      </c>
      <c r="B76" s="332" t="s">
        <v>954</v>
      </c>
      <c r="C76" s="334"/>
      <c r="D76" s="334"/>
      <c r="E76" s="335">
        <f>ROUND('Tabell 3.1–3.3'!Y44+'Tabell 3.1–3.3'!Y56,0)</f>
        <v>555</v>
      </c>
      <c r="F76" s="335"/>
      <c r="G76" s="335">
        <f>ROUND('Tabell 3.1–3.3'!AA44+'Tabell 3.1–3.3'!AA56,0)</f>
        <v>578</v>
      </c>
      <c r="H76" s="335"/>
      <c r="I76" s="335">
        <f>ROUND('Tabell 3.1–3.3'!AC44+'Tabell 3.1–3.3'!AC56,0)</f>
        <v>635</v>
      </c>
      <c r="J76" s="335"/>
      <c r="K76" s="335">
        <f>ROUND('Tabell 3.1–3.3'!AE44+'Tabell 3.1–3.3'!AE56,0)</f>
        <v>646</v>
      </c>
      <c r="L76" s="335"/>
      <c r="M76" s="335">
        <f>ROUND('Tabell 3.1–3.3'!AG44+'Tabell 3.1–3.3'!AG56,0)</f>
        <v>679</v>
      </c>
      <c r="N76" s="335"/>
      <c r="O76" s="335">
        <f>ROUND('Tabell 3.1–3.3'!AI44+'Tabell 3.1–3.3'!AI56,0)</f>
        <v>680</v>
      </c>
      <c r="P76" s="335"/>
      <c r="Q76" s="335">
        <f>ROUND('Tabell 3.1–3.3'!AK44+'Tabell 3.1–3.3'!AK56,0)</f>
        <v>678</v>
      </c>
      <c r="R76" s="335"/>
      <c r="S76" s="335">
        <f>ROUND('Tabell 3.1–3.3'!AM44+'Tabell 3.1–3.3'!AM56,0)</f>
        <v>695</v>
      </c>
      <c r="T76" s="335"/>
      <c r="U76" s="335">
        <f>ROUND('Tabell 3.1–3.3'!AO44+'Tabell 3.1–3.3'!AO56,0)</f>
        <v>717</v>
      </c>
      <c r="V76" s="335"/>
      <c r="W76" s="335">
        <f>ROUND('Tabell 3.1–3.3'!AQ44+'Tabell 3.1–3.3'!AQ56,0)</f>
        <v>721</v>
      </c>
      <c r="X76" s="335"/>
      <c r="Y76" s="335">
        <f>ROUND('Tabell 3.1–3.3'!AS44+'Tabell 3.1–3.3'!AS56,0)</f>
        <v>752</v>
      </c>
      <c r="AA76" s="336"/>
      <c r="AC76" s="237" t="str">
        <f t="shared" si="3"/>
        <v>Railway Transport/Transport Equipment/Trainsets/Number at 31.12/Total,A-II-06-07-0_0-0_0,752,,</v>
      </c>
      <c r="AD76" s="239"/>
    </row>
    <row r="77" spans="1:30">
      <c r="A77" s="331" t="s">
        <v>1312</v>
      </c>
      <c r="B77" s="332" t="s">
        <v>955</v>
      </c>
      <c r="C77" s="334"/>
      <c r="D77" s="334"/>
      <c r="E77" s="337">
        <v>0</v>
      </c>
      <c r="F77" s="337"/>
      <c r="G77" s="337">
        <v>0</v>
      </c>
      <c r="H77" s="337"/>
      <c r="I77" s="337">
        <v>0</v>
      </c>
      <c r="J77" s="337"/>
      <c r="K77" s="337">
        <v>0</v>
      </c>
      <c r="L77" s="337"/>
      <c r="M77" s="337">
        <v>0</v>
      </c>
      <c r="N77" s="337"/>
      <c r="O77" s="335">
        <v>0</v>
      </c>
      <c r="P77" s="337"/>
      <c r="Q77" s="337">
        <v>0</v>
      </c>
      <c r="R77" s="337"/>
      <c r="S77" s="337">
        <v>0</v>
      </c>
      <c r="T77" s="337"/>
      <c r="U77" s="337">
        <v>0</v>
      </c>
      <c r="V77" s="337"/>
      <c r="W77" s="337">
        <v>0</v>
      </c>
      <c r="X77" s="337"/>
      <c r="Y77" s="337">
        <v>0</v>
      </c>
      <c r="AA77" s="336"/>
      <c r="AC77" s="237" t="str">
        <f t="shared" si="3"/>
        <v>Railway Transport/Transport Equipment/Trainsets/Number at 31.12/Total/By type of trainset/High speed trainset,A-II-06-07-83_1-0_0,0,,</v>
      </c>
      <c r="AD77" s="239"/>
    </row>
    <row r="78" spans="1:30">
      <c r="A78" s="331" t="s">
        <v>1313</v>
      </c>
      <c r="B78" s="332" t="s">
        <v>956</v>
      </c>
      <c r="C78" s="334"/>
      <c r="D78" s="334"/>
      <c r="E78" s="335">
        <f>ROUND('Tabell 3.1–3.3'!Y45,0)</f>
        <v>128</v>
      </c>
      <c r="F78" s="335"/>
      <c r="G78" s="335">
        <f>ROUND('Tabell 3.1–3.3'!AA45,0)</f>
        <v>137</v>
      </c>
      <c r="H78" s="335"/>
      <c r="I78" s="335">
        <f>ROUND('Tabell 3.1–3.3'!AC45,0)</f>
        <v>151</v>
      </c>
      <c r="J78" s="335"/>
      <c r="K78" s="335">
        <f>ROUND('Tabell 3.1–3.3'!AE45,0)</f>
        <v>162</v>
      </c>
      <c r="L78" s="335"/>
      <c r="M78" s="335">
        <f>ROUND('Tabell 3.1–3.3'!AG45,0)</f>
        <v>163</v>
      </c>
      <c r="N78" s="335"/>
      <c r="O78" s="335">
        <f>ROUND('Tabell 3.1–3.3'!AI45,0)</f>
        <v>169</v>
      </c>
      <c r="P78" s="335"/>
      <c r="Q78" s="335">
        <f>ROUND('Tabell 3.1–3.3'!AK45,0)</f>
        <v>169</v>
      </c>
      <c r="R78" s="335"/>
      <c r="S78" s="335">
        <f>ROUND('Tabell 3.1–3.3'!AM45,0)</f>
        <v>171</v>
      </c>
      <c r="T78" s="335"/>
      <c r="U78" s="335">
        <f>ROUND('Tabell 3.1–3.3'!AO45,0)</f>
        <v>171</v>
      </c>
      <c r="V78" s="335"/>
      <c r="W78" s="335">
        <f>ROUND('Tabell 3.1–3.3'!AQ45,0)</f>
        <v>171</v>
      </c>
      <c r="X78" s="335"/>
      <c r="Y78" s="335">
        <f>ROUND('Tabell 3.1–3.3'!AS45,0)</f>
        <v>206</v>
      </c>
      <c r="AA78" s="336"/>
      <c r="AC78" s="237" t="str">
        <f t="shared" si="3"/>
        <v>Railway Transport/Transport Equipment/Trainsets/Number at 31.12/Total/By type of trainset/High speed tilting trainset,A-II-06-07-83_2-0_0,206,,</v>
      </c>
      <c r="AD78" s="239"/>
    </row>
    <row r="79" spans="1:30">
      <c r="A79" s="331" t="s">
        <v>1314</v>
      </c>
      <c r="B79" s="332" t="s">
        <v>957</v>
      </c>
      <c r="C79" s="334"/>
      <c r="D79" s="334"/>
      <c r="E79" s="335">
        <f>ROUND('Tabell 3.1–3.3'!Y44+'Tabell 3.1–3.3'!Y56-'Tabell 3.1–3.3'!Y45,0)</f>
        <v>427</v>
      </c>
      <c r="F79" s="335"/>
      <c r="G79" s="335">
        <f>ROUND('Tabell 3.1–3.3'!AA44+'Tabell 3.1–3.3'!AA56-'Tabell 3.1–3.3'!AA45,0)</f>
        <v>441</v>
      </c>
      <c r="H79" s="335"/>
      <c r="I79" s="335">
        <f>ROUND('Tabell 3.1–3.3'!AC44+'Tabell 3.1–3.3'!AC56-'Tabell 3.1–3.3'!AC45,0)</f>
        <v>484</v>
      </c>
      <c r="J79" s="335"/>
      <c r="K79" s="335">
        <f>ROUND('Tabell 3.1–3.3'!AE44+'Tabell 3.1–3.3'!AE56-'Tabell 3.1–3.3'!AE45,0)</f>
        <v>484</v>
      </c>
      <c r="L79" s="335"/>
      <c r="M79" s="335">
        <f>ROUND('Tabell 3.1–3.3'!AG44+'Tabell 3.1–3.3'!AG56-'Tabell 3.1–3.3'!AG45,0)</f>
        <v>516</v>
      </c>
      <c r="N79" s="335"/>
      <c r="O79" s="335">
        <f>ROUND('Tabell 3.1–3.3'!AI44+'Tabell 3.1–3.3'!AI56-'Tabell 3.1–3.3'!AI45,0)</f>
        <v>511</v>
      </c>
      <c r="P79" s="335"/>
      <c r="Q79" s="335">
        <f>ROUND('Tabell 3.1–3.3'!AK44+'Tabell 3.1–3.3'!AK56-'Tabell 3.1–3.3'!AK45,0)</f>
        <v>509</v>
      </c>
      <c r="R79" s="335"/>
      <c r="S79" s="335">
        <f>ROUND('Tabell 3.1–3.3'!AM44+'Tabell 3.1–3.3'!AM56-'Tabell 3.1–3.3'!AM45,0)</f>
        <v>524</v>
      </c>
      <c r="T79" s="335"/>
      <c r="U79" s="335">
        <f>ROUND('Tabell 3.1–3.3'!AO44+'Tabell 3.1–3.3'!AO56-'Tabell 3.1–3.3'!AO45,0)</f>
        <v>546</v>
      </c>
      <c r="V79" s="335"/>
      <c r="W79" s="335">
        <f>ROUND('Tabell 3.1–3.3'!AQ44+'Tabell 3.1–3.3'!AQ56-'Tabell 3.1–3.3'!AQ45,0)</f>
        <v>550</v>
      </c>
      <c r="X79" s="335"/>
      <c r="Y79" s="335">
        <f>ROUND('Tabell 3.1–3.3'!AS44+'Tabell 3.1–3.3'!AS56-'Tabell 3.1–3.3'!AS45,0)</f>
        <v>546</v>
      </c>
      <c r="AA79" s="336"/>
      <c r="AC79" s="237" t="str">
        <f t="shared" si="3"/>
        <v>Railway Transport/Transport Equipment/Trainsets/Number at 31.12/Total/By type of trainset/Conventional trainset,A-II-06-07-83_3-0_0,546,,</v>
      </c>
      <c r="AD79" s="239"/>
    </row>
    <row r="80" spans="1:30">
      <c r="A80" s="331" t="s">
        <v>1315</v>
      </c>
      <c r="B80" s="332" t="s">
        <v>958</v>
      </c>
      <c r="C80" s="334"/>
      <c r="D80" s="334"/>
      <c r="E80" s="335">
        <f>ROUND('Tabell 3.5–3.7'!Y32/1000,0)</f>
        <v>118</v>
      </c>
      <c r="F80" s="335"/>
      <c r="G80" s="335">
        <f>ROUND('Tabell 3.5–3.7'!AA32/1000,0)</f>
        <v>122</v>
      </c>
      <c r="H80" s="335"/>
      <c r="I80" s="335">
        <f>ROUND('Tabell 3.5–3.7'!AC32/1000,0)</f>
        <v>145</v>
      </c>
      <c r="J80" s="335"/>
      <c r="K80" s="335">
        <f>ROUND('Tabell 3.5–3.7'!AE32/1000,0)</f>
        <v>149</v>
      </c>
      <c r="L80" s="335"/>
      <c r="M80" s="335">
        <f>ROUND('Tabell 3.5–3.7'!AG32/1000,0)</f>
        <v>157</v>
      </c>
      <c r="N80" s="335"/>
      <c r="O80" s="335">
        <f>ROUND('Tabell 3.5–3.7'!AI32/1000,0)</f>
        <v>159</v>
      </c>
      <c r="P80" s="335"/>
      <c r="Q80" s="335">
        <f>ROUND('Tabell 3.5–3.7'!AK32/1000,0)</f>
        <v>162</v>
      </c>
      <c r="R80" s="335"/>
      <c r="S80" s="335">
        <f>ROUND('Tabell 3.5–3.7'!AM32/1000,0)</f>
        <v>167</v>
      </c>
      <c r="T80" s="335"/>
      <c r="U80" s="335">
        <f>ROUND('Tabell 3.5–3.7'!AO32/1000,0)</f>
        <v>169</v>
      </c>
      <c r="V80" s="335"/>
      <c r="W80" s="335">
        <f>ROUND('Tabell 3.5–3.7'!AQ32/1000,0)</f>
        <v>172</v>
      </c>
      <c r="X80" s="335"/>
      <c r="Y80" s="335">
        <f>ROUND('Tabell 3.5–3.7'!AS32/1000,0)</f>
        <v>185</v>
      </c>
      <c r="AA80" s="336"/>
      <c r="AC80" s="237" t="str">
        <f t="shared" si="3"/>
        <v>Railway Transport/Transport Equipment/Trainsets/Number of seats and berths [II-11] at 31.12 (1000)/Total,A-II-06-14-0_0-0_0,185,,</v>
      </c>
      <c r="AD80" s="239"/>
    </row>
    <row r="81" spans="1:30">
      <c r="A81" s="331" t="s">
        <v>1316</v>
      </c>
      <c r="B81" s="332" t="s">
        <v>959</v>
      </c>
      <c r="C81" s="334"/>
      <c r="D81" s="334"/>
      <c r="E81" s="335">
        <f>ROUND('Tabell 3.5–3.7'!Y33/1000,0)</f>
        <v>29</v>
      </c>
      <c r="F81" s="335"/>
      <c r="G81" s="335">
        <f>ROUND('Tabell 3.5–3.7'!AA33/1000,0)</f>
        <v>30</v>
      </c>
      <c r="H81" s="335"/>
      <c r="I81" s="335">
        <f>ROUND('Tabell 3.5–3.7'!AC33/1000,0)</f>
        <v>36</v>
      </c>
      <c r="J81" s="335"/>
      <c r="K81" s="335">
        <f>ROUND('Tabell 3.5–3.7'!AE33/1000,0)</f>
        <v>39</v>
      </c>
      <c r="L81" s="335"/>
      <c r="M81" s="335">
        <f>ROUND('Tabell 3.5–3.7'!AG33/1000,0)</f>
        <v>39</v>
      </c>
      <c r="N81" s="335"/>
      <c r="O81" s="335">
        <f>ROUND('Tabell 3.5–3.7'!AI33/1000,0)</f>
        <v>41</v>
      </c>
      <c r="P81" s="335"/>
      <c r="Q81" s="335">
        <f>ROUND('Tabell 3.5–3.7'!AK33/1000,0)</f>
        <v>41</v>
      </c>
      <c r="R81" s="335"/>
      <c r="S81" s="335">
        <f>ROUND('Tabell 3.5–3.7'!AM33/1000,0)</f>
        <v>42</v>
      </c>
      <c r="T81" s="335"/>
      <c r="U81" s="335">
        <f>ROUND('Tabell 3.5–3.7'!AO33/1000,0)</f>
        <v>40</v>
      </c>
      <c r="V81" s="335"/>
      <c r="W81" s="335">
        <f>ROUND('Tabell 3.5–3.7'!AQ33/1000,0)</f>
        <v>42</v>
      </c>
      <c r="X81" s="335"/>
      <c r="Y81" s="335">
        <f>ROUND('Tabell 3.5–3.7'!AS33/1000,0)</f>
        <v>55</v>
      </c>
      <c r="AA81" s="336"/>
      <c r="AC81" s="237" t="str">
        <f t="shared" si="3"/>
        <v>Railway Transport/Transport Equipment/Trainsets/Number of seats and berths [II-11] at 31.12 (1000)/Total/By type of trainset/High speed trainset,A-II-06-14-83_1-0_0,55,,</v>
      </c>
      <c r="AD81" s="239"/>
    </row>
    <row r="82" spans="1:30">
      <c r="A82" s="331" t="s">
        <v>1317</v>
      </c>
      <c r="B82" s="332" t="s">
        <v>960</v>
      </c>
      <c r="C82" s="334" t="s">
        <v>884</v>
      </c>
      <c r="D82" s="334"/>
      <c r="E82" s="337"/>
      <c r="F82" s="337"/>
      <c r="G82" s="337"/>
      <c r="H82" s="337"/>
      <c r="I82" s="337"/>
      <c r="J82" s="337"/>
      <c r="K82" s="337"/>
      <c r="L82" s="337"/>
      <c r="M82" s="337"/>
      <c r="N82" s="337"/>
      <c r="O82" s="337"/>
      <c r="P82" s="337"/>
      <c r="Q82" s="337"/>
      <c r="R82" s="337"/>
      <c r="S82" s="337"/>
      <c r="T82" s="337"/>
      <c r="U82" s="337"/>
      <c r="V82" s="337"/>
      <c r="W82" s="337"/>
      <c r="X82" s="337"/>
      <c r="Y82" s="337"/>
      <c r="AA82" s="336"/>
      <c r="AC82" s="237" t="str">
        <f t="shared" si="3"/>
        <v>Railway Transport/Transport Equipment/Trainsets/Number of seats and berths [II-11] at 31.12 (1000)/Total/By type of trainset/High speed tilting trainset,A-II-06-14-83_2-0_0,,:,</v>
      </c>
      <c r="AD82" s="239"/>
    </row>
    <row r="83" spans="1:30">
      <c r="A83" s="331" t="s">
        <v>1318</v>
      </c>
      <c r="B83" s="332" t="s">
        <v>961</v>
      </c>
      <c r="C83" s="334"/>
      <c r="D83" s="334"/>
      <c r="E83" s="335">
        <f>ROUND(('Tabell 3.5–3.7'!Y32-'Tabell 3.5–3.7'!Y33)/1000,0)</f>
        <v>89</v>
      </c>
      <c r="F83" s="335"/>
      <c r="G83" s="335">
        <f>ROUND(('Tabell 3.5–3.7'!AA32-'Tabell 3.5–3.7'!AA33)/1000,0)</f>
        <v>91</v>
      </c>
      <c r="H83" s="335"/>
      <c r="I83" s="335">
        <f>ROUND(('Tabell 3.5–3.7'!AC32-'Tabell 3.5–3.7'!AC33)/1000,0)</f>
        <v>109</v>
      </c>
      <c r="J83" s="335"/>
      <c r="K83" s="335">
        <f>ROUND(('Tabell 3.5–3.7'!AE32-'Tabell 3.5–3.7'!AE33)/1000,0)</f>
        <v>111</v>
      </c>
      <c r="L83" s="335"/>
      <c r="M83" s="335">
        <f>ROUND(('Tabell 3.5–3.7'!AG32-'Tabell 3.5–3.7'!AG33)/1000,0)</f>
        <v>118</v>
      </c>
      <c r="N83" s="335"/>
      <c r="O83" s="335">
        <f>ROUND(('Tabell 3.5–3.7'!AI32-'Tabell 3.5–3.7'!AI33)/1000,0)</f>
        <v>118</v>
      </c>
      <c r="P83" s="335"/>
      <c r="Q83" s="335">
        <f>ROUND(('Tabell 3.5–3.7'!AK32-'Tabell 3.5–3.7'!AK33)/1000,0)</f>
        <v>122</v>
      </c>
      <c r="R83" s="335"/>
      <c r="S83" s="335">
        <f>ROUND(('Tabell 3.5–3.7'!AM32-'Tabell 3.5–3.7'!AM33)/1000,0)</f>
        <v>125</v>
      </c>
      <c r="T83" s="335"/>
      <c r="U83" s="335">
        <f>ROUND(('Tabell 3.5–3.7'!AO32-'Tabell 3.5–3.7'!AO33)/1000,0)</f>
        <v>129</v>
      </c>
      <c r="V83" s="335"/>
      <c r="W83" s="335">
        <f>ROUND(('Tabell 3.5–3.7'!AQ32-'Tabell 3.5–3.7'!AQ33)/1000,0)</f>
        <v>130</v>
      </c>
      <c r="X83" s="335"/>
      <c r="Y83" s="335">
        <f>ROUND(('Tabell 3.5–3.7'!AS32-'Tabell 3.5–3.7'!AS33)/1000,0)</f>
        <v>130</v>
      </c>
      <c r="AA83" s="336"/>
      <c r="AC83" s="237" t="str">
        <f t="shared" si="3"/>
        <v>Railway Transport/Transport Equipment/Trainsets/Number of seats and berths [II-11] at 31.12 (1000)/Total/By type of trainset/Conventional trainset,A-II-06-14-83_3-0_0,130,,</v>
      </c>
      <c r="AD83" s="239"/>
    </row>
    <row r="84" spans="1:30">
      <c r="A84" s="331" t="s">
        <v>1319</v>
      </c>
      <c r="B84" s="332" t="s">
        <v>962</v>
      </c>
      <c r="C84" s="334"/>
      <c r="D84" s="334"/>
      <c r="E84" s="340">
        <v>32</v>
      </c>
      <c r="F84" s="341"/>
      <c r="G84" s="340">
        <v>33</v>
      </c>
      <c r="H84" s="341"/>
      <c r="I84" s="340">
        <v>33</v>
      </c>
      <c r="J84" s="341"/>
      <c r="K84" s="340">
        <v>30</v>
      </c>
      <c r="L84" s="341"/>
      <c r="M84" s="340">
        <v>31</v>
      </c>
      <c r="N84" s="341"/>
      <c r="O84" s="340">
        <v>31</v>
      </c>
      <c r="P84" s="341"/>
      <c r="Q84" s="340">
        <v>30</v>
      </c>
      <c r="R84" s="341"/>
      <c r="S84" s="340">
        <v>28</v>
      </c>
      <c r="T84" s="341"/>
      <c r="U84" s="340">
        <v>30</v>
      </c>
      <c r="V84" s="341"/>
      <c r="W84" s="340">
        <v>31</v>
      </c>
      <c r="X84" s="403"/>
      <c r="Y84" s="340">
        <v>27</v>
      </c>
      <c r="AA84" s="336" t="s">
        <v>963</v>
      </c>
      <c r="AC84" s="237" t="str">
        <f t="shared" si="3"/>
        <v>Railway Transport/Enterprise Economic Performance And Employment/Railway enterprises/Number of enterprises at 31.12/Total,A-III-01-09-0_0-0_0,27,,</v>
      </c>
      <c r="AD84" s="239"/>
    </row>
    <row r="85" spans="1:30">
      <c r="A85" s="331" t="s">
        <v>1320</v>
      </c>
      <c r="B85" s="332" t="s">
        <v>964</v>
      </c>
      <c r="C85" s="334"/>
      <c r="D85" s="334"/>
      <c r="E85" s="340">
        <v>28</v>
      </c>
      <c r="F85" s="341"/>
      <c r="G85" s="340">
        <v>29</v>
      </c>
      <c r="H85" s="341"/>
      <c r="I85" s="340">
        <v>29</v>
      </c>
      <c r="J85" s="341"/>
      <c r="K85" s="340">
        <v>26</v>
      </c>
      <c r="L85" s="341"/>
      <c r="M85" s="340">
        <v>27</v>
      </c>
      <c r="N85" s="341"/>
      <c r="O85" s="340">
        <v>27</v>
      </c>
      <c r="P85" s="341"/>
      <c r="Q85" s="340">
        <v>26</v>
      </c>
      <c r="R85" s="341"/>
      <c r="S85" s="340">
        <v>24</v>
      </c>
      <c r="T85" s="341"/>
      <c r="U85" s="340">
        <v>26</v>
      </c>
      <c r="V85" s="341"/>
      <c r="W85" s="340">
        <v>26</v>
      </c>
      <c r="X85" s="403"/>
      <c r="Y85" s="340">
        <v>22</v>
      </c>
      <c r="AA85" s="336" t="s">
        <v>963</v>
      </c>
      <c r="AC85" s="237" t="str">
        <f t="shared" si="3"/>
        <v>Railway Transport/Enterprise Economic Performance And Employment/Railway enterprises/Number of enterprises at 31.12/Total/By type of enterprise/Railway undertaking,A-III-01-09-87_1-0_0,22,,</v>
      </c>
      <c r="AD85" s="239"/>
    </row>
    <row r="86" spans="1:30">
      <c r="A86" s="331" t="s">
        <v>1321</v>
      </c>
      <c r="B86" s="332" t="s">
        <v>965</v>
      </c>
      <c r="C86" s="334"/>
      <c r="D86" s="334"/>
      <c r="E86" s="340">
        <v>2</v>
      </c>
      <c r="F86" s="341"/>
      <c r="G86" s="340">
        <v>2</v>
      </c>
      <c r="H86" s="341"/>
      <c r="I86" s="340">
        <v>2</v>
      </c>
      <c r="J86" s="341"/>
      <c r="K86" s="340">
        <v>2</v>
      </c>
      <c r="L86" s="341"/>
      <c r="M86" s="340">
        <v>2</v>
      </c>
      <c r="N86" s="341"/>
      <c r="O86" s="340">
        <v>2</v>
      </c>
      <c r="P86" s="341"/>
      <c r="Q86" s="340">
        <v>2</v>
      </c>
      <c r="R86" s="341"/>
      <c r="S86" s="340">
        <v>2</v>
      </c>
      <c r="T86" s="341"/>
      <c r="U86" s="340">
        <v>2</v>
      </c>
      <c r="V86" s="341"/>
      <c r="W86" s="340">
        <v>3</v>
      </c>
      <c r="X86" s="403"/>
      <c r="Y86" s="340">
        <v>3</v>
      </c>
      <c r="AA86" s="336" t="s">
        <v>963</v>
      </c>
      <c r="AC86" s="237" t="str">
        <f t="shared" si="3"/>
        <v>Railway Transport/Enterprise Economic Performance And Employment/Railway enterprises/Number of enterprises at 31.12/Total/By type of enterprise/Infrastructure manager,A-III-01-09-87_2-0_0,3,,</v>
      </c>
      <c r="AD86" s="239"/>
    </row>
    <row r="87" spans="1:30">
      <c r="A87" s="331" t="s">
        <v>1322</v>
      </c>
      <c r="B87" s="332" t="s">
        <v>966</v>
      </c>
      <c r="C87" s="334"/>
      <c r="D87" s="334"/>
      <c r="E87" s="340">
        <v>2</v>
      </c>
      <c r="F87" s="341"/>
      <c r="G87" s="340">
        <v>2</v>
      </c>
      <c r="H87" s="341"/>
      <c r="I87" s="340">
        <v>2</v>
      </c>
      <c r="J87" s="341"/>
      <c r="K87" s="340">
        <v>2</v>
      </c>
      <c r="L87" s="341"/>
      <c r="M87" s="340">
        <v>2</v>
      </c>
      <c r="N87" s="341"/>
      <c r="O87" s="340">
        <v>2</v>
      </c>
      <c r="P87" s="341"/>
      <c r="Q87" s="340">
        <v>2</v>
      </c>
      <c r="R87" s="341"/>
      <c r="S87" s="340">
        <v>2</v>
      </c>
      <c r="T87" s="341"/>
      <c r="U87" s="340">
        <v>2</v>
      </c>
      <c r="V87" s="341"/>
      <c r="W87" s="340">
        <v>2</v>
      </c>
      <c r="X87" s="403"/>
      <c r="Y87" s="340">
        <v>2</v>
      </c>
      <c r="AA87" s="336" t="s">
        <v>963</v>
      </c>
      <c r="AC87" s="237" t="str">
        <f t="shared" si="3"/>
        <v>Railway Transport/Enterprise Economic Performance And Employment/Railway enterprises/Number of enterprises at 31.12/Total/By type of enterprise/Integrated company,A-III-01-09-87_3-0_0,2,,</v>
      </c>
      <c r="AD87" s="239"/>
    </row>
    <row r="88" spans="1:30">
      <c r="A88" s="331" t="s">
        <v>1323</v>
      </c>
      <c r="B88" s="332" t="s">
        <v>967</v>
      </c>
      <c r="C88" s="334" t="s">
        <v>884</v>
      </c>
      <c r="D88" s="334"/>
      <c r="E88" s="337"/>
      <c r="F88" s="337"/>
      <c r="G88" s="337"/>
      <c r="H88" s="337"/>
      <c r="I88" s="337"/>
      <c r="J88" s="337"/>
      <c r="K88" s="337"/>
      <c r="L88" s="337"/>
      <c r="M88" s="337"/>
      <c r="N88" s="337"/>
      <c r="O88" s="337"/>
      <c r="P88" s="337"/>
      <c r="Q88" s="337"/>
      <c r="R88" s="337"/>
      <c r="S88" s="337"/>
      <c r="T88" s="337"/>
      <c r="U88" s="337"/>
      <c r="V88" s="337"/>
      <c r="W88" s="337"/>
      <c r="X88" s="337"/>
      <c r="Y88" s="337"/>
      <c r="AA88" s="336"/>
      <c r="AC88" s="237" t="str">
        <f t="shared" si="3"/>
        <v>Railway Transport/Enterprise Economic Performance And Employment/Investment and maintenance in rolling railway stocks/Amount of the year (national currency- millions)/Investment and maintenance expenditure in rolling stock in railway enterprises (Total),A-III-03-01-0_0-0_0,,:,</v>
      </c>
      <c r="AD88" s="239"/>
    </row>
    <row r="89" spans="1:30">
      <c r="A89" s="331" t="s">
        <v>1324</v>
      </c>
      <c r="B89" s="332" t="s">
        <v>968</v>
      </c>
      <c r="C89" s="334" t="s">
        <v>884</v>
      </c>
      <c r="D89" s="334"/>
      <c r="E89" s="337"/>
      <c r="F89" s="337"/>
      <c r="G89" s="337"/>
      <c r="H89" s="337"/>
      <c r="I89" s="337"/>
      <c r="J89" s="337"/>
      <c r="K89" s="337"/>
      <c r="L89" s="337"/>
      <c r="M89" s="337"/>
      <c r="N89" s="337"/>
      <c r="O89" s="337"/>
      <c r="P89" s="337"/>
      <c r="Q89" s="337"/>
      <c r="R89" s="337"/>
      <c r="S89" s="337"/>
      <c r="T89" s="337"/>
      <c r="U89" s="337"/>
      <c r="V89" s="337"/>
      <c r="W89" s="337"/>
      <c r="X89" s="337"/>
      <c r="Y89" s="337"/>
      <c r="AA89" s="336"/>
      <c r="AC89" s="237" t="str">
        <f t="shared" si="3"/>
        <v>Railway Transport/Enterprise Economic Performance And Employment/Investment and maintenance in rolling railway stocks/Amount of the year (national currency- millions)/By expenditure type/Investment expenditure in rolling stock in railway enterprises,A-III-03-01-10_1-0_0,,:,</v>
      </c>
      <c r="AD89" s="239"/>
    </row>
    <row r="90" spans="1:30">
      <c r="A90" s="331" t="s">
        <v>1325</v>
      </c>
      <c r="B90" s="332" t="s">
        <v>969</v>
      </c>
      <c r="C90" s="334" t="s">
        <v>884</v>
      </c>
      <c r="D90" s="334"/>
      <c r="E90" s="337"/>
      <c r="F90" s="337"/>
      <c r="G90" s="337"/>
      <c r="H90" s="337"/>
      <c r="I90" s="337"/>
      <c r="J90" s="337"/>
      <c r="K90" s="337"/>
      <c r="L90" s="337"/>
      <c r="M90" s="337"/>
      <c r="N90" s="337"/>
      <c r="O90" s="337"/>
      <c r="P90" s="337"/>
      <c r="Q90" s="337"/>
      <c r="R90" s="337"/>
      <c r="S90" s="337"/>
      <c r="T90" s="337"/>
      <c r="U90" s="337"/>
      <c r="V90" s="337"/>
      <c r="W90" s="337"/>
      <c r="X90" s="337"/>
      <c r="Y90" s="337"/>
      <c r="AA90" s="336"/>
      <c r="AC90" s="237" t="str">
        <f t="shared" si="3"/>
        <v>Railway Transport/Enterprise Economic Performance And Employment/Investment and maintenance in rolling railway stocks/Amount of the year (national currency- millions)/By expenditure type/Maintenance expenditure in rolling stock in railway enterprises,A-III-03-01-10_2-0_0,,:,</v>
      </c>
      <c r="AD90" s="239"/>
    </row>
    <row r="91" spans="1:30">
      <c r="A91" s="331" t="s">
        <v>1326</v>
      </c>
      <c r="B91" s="332" t="s">
        <v>970</v>
      </c>
      <c r="C91" s="334"/>
      <c r="D91" s="334"/>
      <c r="E91" s="335">
        <f>ROUND('Tabell 2.1–2.2'!Y63,0)</f>
        <v>20577</v>
      </c>
      <c r="F91" s="335"/>
      <c r="G91" s="335">
        <f>ROUND('Tabell 2.1–2.2'!AA63,0)</f>
        <v>19415</v>
      </c>
      <c r="H91" s="335"/>
      <c r="I91" s="335">
        <f>ROUND('Tabell 2.1–2.2'!AC63,0)</f>
        <v>19006</v>
      </c>
      <c r="J91" s="335"/>
      <c r="K91" s="335">
        <f>ROUND('Tabell 2.1–2.2'!AE63,0)</f>
        <v>17548</v>
      </c>
      <c r="L91" s="335"/>
      <c r="M91" s="335">
        <f>ROUND('Tabell 2.1–2.2'!AG63,0)</f>
        <v>19686</v>
      </c>
      <c r="N91" s="335"/>
      <c r="O91" s="335">
        <f>ROUND('Tabell 2.1–2.2'!AI63,0)</f>
        <v>21498</v>
      </c>
      <c r="P91" s="335"/>
      <c r="Q91" s="335">
        <f>ROUND('Tabell 2.1–2.2'!AK63,0)</f>
        <v>20527</v>
      </c>
      <c r="R91" s="335"/>
      <c r="S91" s="335">
        <f>ROUND('Tabell 2.1–2.2'!AM63,0)</f>
        <v>21180</v>
      </c>
      <c r="T91" s="335"/>
      <c r="U91" s="335">
        <f>ROUND('Tabell 2.1–2.2'!AO63,0)</f>
        <v>21930</v>
      </c>
      <c r="V91" s="335"/>
      <c r="W91" s="335">
        <f>ROUND('Tabell 2.1–2.2'!AQ63,0)</f>
        <v>24946</v>
      </c>
      <c r="X91" s="335"/>
      <c r="Y91" s="335">
        <f>ROUND('Tabell 2.1–2.2'!AS63,0)</f>
        <v>28775</v>
      </c>
      <c r="AA91" s="336"/>
      <c r="AC91" s="237" t="str">
        <f t="shared" si="3"/>
        <v>Railway Transport/Enterprise Economic Performance And Employment/Investment and maintenance in railway infrastructure/Amount of the year (national currency- millions)/Investment and maintenance expenditure in infrastructure in railway enterprises (Total),A-III-04-01-0_0-0_0,28775,,</v>
      </c>
      <c r="AD91" s="239"/>
    </row>
    <row r="92" spans="1:30">
      <c r="A92" s="331" t="s">
        <v>1327</v>
      </c>
      <c r="B92" s="332" t="s">
        <v>971</v>
      </c>
      <c r="C92" s="334"/>
      <c r="D92" s="334"/>
      <c r="E92" s="335">
        <f>ROUND('Tabell 2.1–2.2'!Y60,0)</f>
        <v>13673</v>
      </c>
      <c r="F92" s="335"/>
      <c r="G92" s="335">
        <f>ROUND('Tabell 2.1–2.2'!AA60,0)</f>
        <v>12643</v>
      </c>
      <c r="H92" s="335"/>
      <c r="I92" s="335">
        <f>ROUND('Tabell 2.1–2.2'!AC60,0)</f>
        <v>11597</v>
      </c>
      <c r="J92" s="335"/>
      <c r="K92" s="335">
        <f>ROUND('Tabell 2.1–2.2'!AE60,0)</f>
        <v>9551</v>
      </c>
      <c r="L92" s="335"/>
      <c r="M92" s="335">
        <f>ROUND('Tabell 2.1–2.2'!AG60,0)</f>
        <v>10802</v>
      </c>
      <c r="N92" s="335"/>
      <c r="O92" s="335">
        <f>ROUND('Tabell 2.1–2.2'!AI60,0)</f>
        <v>12981</v>
      </c>
      <c r="P92" s="335"/>
      <c r="Q92" s="335">
        <f>ROUND('Tabell 2.1–2.2'!AK60,0)</f>
        <v>11494</v>
      </c>
      <c r="R92" s="335"/>
      <c r="S92" s="335">
        <f>ROUND('Tabell 2.1–2.2'!AM60,0)</f>
        <v>11527</v>
      </c>
      <c r="T92" s="335"/>
      <c r="U92" s="335">
        <f>ROUND('Tabell 2.1–2.2'!AO60,0)</f>
        <v>12006</v>
      </c>
      <c r="V92" s="335"/>
      <c r="W92" s="335">
        <f>ROUND('Tabell 2.1–2.2'!AQ60,0)</f>
        <v>14639</v>
      </c>
      <c r="X92" s="335"/>
      <c r="Y92" s="335">
        <f>ROUND('Tabell 2.1–2.2'!AS60,0)</f>
        <v>18034</v>
      </c>
      <c r="AA92" s="336"/>
      <c r="AC92" s="237" t="str">
        <f t="shared" si="3"/>
        <v>Railway Transport/Enterprise Economic Performance And Employment/Investment and maintenance in railway infrastructure/Amount of the year (national currency- millions)/By expenditure type/Investment expenditure in infrastructure in railway enterprises,A-III-04-01-10_1-0_0,18034,,</v>
      </c>
      <c r="AD92" s="239"/>
    </row>
    <row r="93" spans="1:30">
      <c r="A93" s="331" t="s">
        <v>1328</v>
      </c>
      <c r="B93" s="332" t="s">
        <v>972</v>
      </c>
      <c r="C93" s="334"/>
      <c r="D93" s="334"/>
      <c r="E93" s="335">
        <f>ROUND('Tabell 2.1–2.2'!Y63-'Tabell 2.1–2.2'!Y60,0)</f>
        <v>6904</v>
      </c>
      <c r="F93" s="335"/>
      <c r="G93" s="335">
        <f>ROUND('Tabell 2.1–2.2'!AA63-'Tabell 2.1–2.2'!AA60,0)</f>
        <v>6773</v>
      </c>
      <c r="H93" s="335"/>
      <c r="I93" s="335">
        <f>ROUND('Tabell 2.1–2.2'!AC63-'Tabell 2.1–2.2'!AC60,0)</f>
        <v>7410</v>
      </c>
      <c r="J93" s="335"/>
      <c r="K93" s="335">
        <f>ROUND('Tabell 2.1–2.2'!AE63-'Tabell 2.1–2.2'!AE60,0)</f>
        <v>7997</v>
      </c>
      <c r="L93" s="335"/>
      <c r="M93" s="335">
        <f>ROUND('Tabell 2.1–2.2'!AG63-'Tabell 2.1–2.2'!AG60,0)</f>
        <v>8884</v>
      </c>
      <c r="N93" s="335"/>
      <c r="O93" s="335">
        <f>ROUND('Tabell 2.1–2.2'!AI63-'Tabell 2.1–2.2'!AI60,0)</f>
        <v>8517</v>
      </c>
      <c r="P93" s="335"/>
      <c r="Q93" s="335">
        <f>ROUND('Tabell 2.1–2.2'!AK63-'Tabell 2.1–2.2'!AK60,0)</f>
        <v>9033</v>
      </c>
      <c r="R93" s="335"/>
      <c r="S93" s="335">
        <f>ROUND('Tabell 2.1–2.2'!AM63-'Tabell 2.1–2.2'!AM60,0)</f>
        <v>9654</v>
      </c>
      <c r="T93" s="335"/>
      <c r="U93" s="335">
        <f>ROUND('Tabell 2.1–2.2'!AO63-'Tabell 2.1–2.2'!AO60,0)</f>
        <v>9924</v>
      </c>
      <c r="V93" s="335"/>
      <c r="W93" s="335">
        <f>ROUND('Tabell 2.1–2.2'!AQ63-'Tabell 2.1–2.2'!AQ60,0)</f>
        <v>10307</v>
      </c>
      <c r="X93" s="335"/>
      <c r="Y93" s="335">
        <f>ROUND('Tabell 2.1–2.2'!AS63-'Tabell 2.1–2.2'!AS60,0)</f>
        <v>10741</v>
      </c>
      <c r="AA93" s="336"/>
      <c r="AC93" s="237" t="str">
        <f t="shared" si="3"/>
        <v>Railway Transport/Enterprise Economic Performance And Employment/Investment and maintenance in railway infrastructure/Amount of the year (national currency- millions)/By expenditure type/Maintenance expenditure in infrastructure in railway enterprises,A-III-04-01-10_2-0_0,10741,,</v>
      </c>
      <c r="AD93" s="239"/>
    </row>
    <row r="94" spans="1:30">
      <c r="A94" s="331" t="s">
        <v>1329</v>
      </c>
      <c r="B94" s="332" t="s">
        <v>973</v>
      </c>
      <c r="C94" s="334"/>
      <c r="D94" s="334"/>
      <c r="E94" s="335">
        <f>ROUND('Tabell 4.1–4.3'!Y22,0)</f>
        <v>140582</v>
      </c>
      <c r="F94" s="335"/>
      <c r="G94" s="335">
        <f>ROUND('Tabell 4.1–4.3'!AA22,0)</f>
        <v>147191</v>
      </c>
      <c r="H94" s="335"/>
      <c r="I94" s="335">
        <f>ROUND('Tabell 4.1–4.3'!AC22,0)</f>
        <v>145731</v>
      </c>
      <c r="J94" s="335"/>
      <c r="K94" s="335">
        <f>ROUND('Tabell 4.1–4.3'!AE22,0)</f>
        <v>151185</v>
      </c>
      <c r="L94" s="335"/>
      <c r="M94" s="335">
        <f>ROUND('Tabell 4.1–4.3'!AG22,0)</f>
        <v>152984</v>
      </c>
      <c r="N94" s="335"/>
      <c r="O94" s="335">
        <f>ROUND('Tabell 4.1–4.3'!AI22,0)</f>
        <v>152880</v>
      </c>
      <c r="P94" s="335"/>
      <c r="Q94" s="335">
        <f>ROUND('Tabell 4.1–4.3'!AK22,0)</f>
        <v>157723</v>
      </c>
      <c r="R94" s="335"/>
      <c r="S94" s="335">
        <f>ROUND('Tabell 4.1–4.3'!AM22,0)</f>
        <v>160384</v>
      </c>
      <c r="T94" s="335"/>
      <c r="U94" s="335">
        <f>ROUND('Tabell 4.1–4.3'!AO22,0)</f>
        <v>165095</v>
      </c>
      <c r="V94" s="335"/>
      <c r="W94" s="335">
        <f>ROUND('Tabell 4.1–4.3'!AQ22,0)</f>
        <v>168055</v>
      </c>
      <c r="X94" s="335"/>
      <c r="Y94" s="335">
        <f>ROUND('Tabell 4.1–4.3'!AS22,0)</f>
        <v>151353</v>
      </c>
      <c r="AA94" s="336"/>
      <c r="AC94" s="237" t="str">
        <f t="shared" si="3"/>
        <v>Railway Transport/Traffic/Train movements/Train-km [IV-07] (1000)/Total,A-IV-01-21-0_0-0_0,151353,,</v>
      </c>
      <c r="AD94" s="239"/>
    </row>
    <row r="95" spans="1:30">
      <c r="A95" s="331" t="s">
        <v>1330</v>
      </c>
      <c r="B95" s="332" t="s">
        <v>974</v>
      </c>
      <c r="C95" s="334"/>
      <c r="D95" s="332" t="s">
        <v>975</v>
      </c>
      <c r="E95" s="335">
        <f>ROUND('Tabell 4.1–4.3'!Y20,0)</f>
        <v>130511</v>
      </c>
      <c r="F95" s="335"/>
      <c r="G95" s="335">
        <f>ROUND('Tabell 4.1–4.3'!AA20,0)</f>
        <v>137282</v>
      </c>
      <c r="H95" s="335"/>
      <c r="I95" s="335">
        <f>ROUND('Tabell 4.1–4.3'!AC20,0)</f>
        <v>136413</v>
      </c>
      <c r="J95" s="335"/>
      <c r="K95" s="335">
        <f>ROUND('Tabell 4.1–4.3'!AE20,0)</f>
        <v>142240</v>
      </c>
      <c r="L95" s="335"/>
      <c r="M95" s="335">
        <f>ROUND('Tabell 4.1–4.3'!AG20,0)</f>
        <v>144745</v>
      </c>
      <c r="N95" s="335"/>
      <c r="O95" s="335">
        <f>ROUND('Tabell 4.1–4.3'!AI20,0)</f>
        <v>144861</v>
      </c>
      <c r="P95" s="335"/>
      <c r="Q95" s="335">
        <f>ROUND('Tabell 4.1–4.3'!AK20,0)</f>
        <v>150103</v>
      </c>
      <c r="R95" s="335"/>
      <c r="S95" s="335">
        <f>ROUND('Tabell 4.1–4.3'!AM20,0)</f>
        <v>153580</v>
      </c>
      <c r="T95" s="335"/>
      <c r="U95" s="335">
        <f>ROUND('Tabell 4.1–4.3'!AO20,0)</f>
        <v>157941</v>
      </c>
      <c r="V95" s="335"/>
      <c r="W95" s="335">
        <f>ROUND('Tabell 4.1–4.3'!AQ20,0)</f>
        <v>160429</v>
      </c>
      <c r="X95" s="335"/>
      <c r="Y95" s="335">
        <f>ROUND('Tabell 4.1–4.3'!AS20,0)</f>
        <v>144363</v>
      </c>
      <c r="AA95" s="336"/>
      <c r="AC95" s="237" t="str">
        <f t="shared" si="3"/>
        <v>Railway Transport/Traffic/Train movements/Train-km [IV-07] (1000)/By type of tractive vehicle and source of power/Electric locomotives,A-IV-01-21-22_11-0_0,144363,,Incl. electric railcars</v>
      </c>
      <c r="AD95" s="239"/>
    </row>
    <row r="96" spans="1:30">
      <c r="A96" s="331" t="s">
        <v>1331</v>
      </c>
      <c r="B96" s="332" t="s">
        <v>976</v>
      </c>
      <c r="C96" s="334"/>
      <c r="D96" s="332" t="s">
        <v>977</v>
      </c>
      <c r="E96" s="335">
        <f>ROUND('Tabell 4.1–4.3'!Y21,0)</f>
        <v>10071</v>
      </c>
      <c r="F96" s="335"/>
      <c r="G96" s="335">
        <f>ROUND('Tabell 4.1–4.3'!AA21,0)</f>
        <v>9908</v>
      </c>
      <c r="H96" s="335"/>
      <c r="I96" s="335">
        <f>ROUND('Tabell 4.1–4.3'!AC21,0)</f>
        <v>9318</v>
      </c>
      <c r="J96" s="335"/>
      <c r="K96" s="335">
        <f>ROUND('Tabell 4.1–4.3'!AE21,0)</f>
        <v>8946</v>
      </c>
      <c r="L96" s="335"/>
      <c r="M96" s="335">
        <f>ROUND('Tabell 4.1–4.3'!AG21,0)</f>
        <v>8239</v>
      </c>
      <c r="N96" s="335"/>
      <c r="O96" s="335">
        <f>ROUND('Tabell 4.1–4.3'!AI21,0)</f>
        <v>8019</v>
      </c>
      <c r="P96" s="335"/>
      <c r="Q96" s="335">
        <f>ROUND('Tabell 4.1–4.3'!AK21,0)</f>
        <v>7620</v>
      </c>
      <c r="R96" s="335"/>
      <c r="S96" s="335">
        <f>ROUND('Tabell 4.1–4.3'!AM21,0)</f>
        <v>6803</v>
      </c>
      <c r="T96" s="335"/>
      <c r="U96" s="335">
        <f>ROUND('Tabell 4.1–4.3'!AO21,0)</f>
        <v>7155</v>
      </c>
      <c r="V96" s="335"/>
      <c r="W96" s="335">
        <f>ROUND('Tabell 4.1–4.3'!AQ21,0)</f>
        <v>7626</v>
      </c>
      <c r="X96" s="335"/>
      <c r="Y96" s="335">
        <f>ROUND('Tabell 4.1–4.3'!AS21,0)</f>
        <v>6990</v>
      </c>
      <c r="AA96" s="336"/>
      <c r="AC96" s="237" t="str">
        <f t="shared" si="3"/>
        <v>Railway Transport/Traffic/Train movements/Train-km [IV-07] (1000)/By type of tractive vehicle and source of power/Diesel locomotives,A-IV-01-21-22_12-0_0,6990,,Incl. diesel railcars</v>
      </c>
      <c r="AD96" s="239"/>
    </row>
    <row r="97" spans="1:30">
      <c r="A97" s="331" t="s">
        <v>1332</v>
      </c>
      <c r="B97" s="332" t="s">
        <v>978</v>
      </c>
      <c r="C97" s="334" t="s">
        <v>884</v>
      </c>
      <c r="D97" s="332"/>
      <c r="E97" s="337"/>
      <c r="F97" s="337"/>
      <c r="G97" s="337"/>
      <c r="H97" s="337"/>
      <c r="I97" s="337"/>
      <c r="J97" s="337"/>
      <c r="K97" s="337"/>
      <c r="L97" s="337"/>
      <c r="M97" s="337"/>
      <c r="N97" s="337"/>
      <c r="O97" s="337"/>
      <c r="P97" s="337"/>
      <c r="Q97" s="337"/>
      <c r="R97" s="337"/>
      <c r="S97" s="337"/>
      <c r="T97" s="337"/>
      <c r="U97" s="337"/>
      <c r="V97" s="337"/>
      <c r="W97" s="337"/>
      <c r="X97" s="337"/>
      <c r="Y97" s="337"/>
      <c r="AA97" s="336"/>
      <c r="AC97" s="237" t="str">
        <f t="shared" si="3"/>
        <v>Railway Transport/Traffic/Train movements/Train-km [IV-07] (1000)/By type of tractive vehicle and source of power/Electric railcars,A-IV-01-21-22_21-0_0,,:,</v>
      </c>
      <c r="AD97" s="239"/>
    </row>
    <row r="98" spans="1:30">
      <c r="A98" s="331" t="s">
        <v>1333</v>
      </c>
      <c r="B98" s="332" t="s">
        <v>979</v>
      </c>
      <c r="C98" s="334" t="s">
        <v>884</v>
      </c>
      <c r="D98" s="332"/>
      <c r="E98" s="337"/>
      <c r="F98" s="337"/>
      <c r="G98" s="337"/>
      <c r="H98" s="337"/>
      <c r="I98" s="337"/>
      <c r="J98" s="337"/>
      <c r="K98" s="337"/>
      <c r="L98" s="337"/>
      <c r="M98" s="337"/>
      <c r="N98" s="337"/>
      <c r="O98" s="337"/>
      <c r="P98" s="337"/>
      <c r="Q98" s="337"/>
      <c r="R98" s="337"/>
      <c r="S98" s="337"/>
      <c r="T98" s="337"/>
      <c r="U98" s="337"/>
      <c r="V98" s="337"/>
      <c r="W98" s="337"/>
      <c r="X98" s="337"/>
      <c r="Y98" s="337"/>
      <c r="AA98" s="336"/>
      <c r="AC98" s="237" t="str">
        <f t="shared" ref="AC98:AC129" si="4">CONCATENATE(B98,",",A98,",",Y98,",",C98,",",D98)</f>
        <v>Railway Transport/Traffic/Train movements/Train-km [IV-07] (1000)/By type of tractive vehicle and source of power/Diesel railcars,A-IV-01-21-22_22-0_0,,:,</v>
      </c>
      <c r="AD98" s="239"/>
    </row>
    <row r="99" spans="1:30">
      <c r="A99" s="331" t="s">
        <v>1334</v>
      </c>
      <c r="B99" s="332" t="s">
        <v>980</v>
      </c>
      <c r="C99" s="334"/>
      <c r="D99" s="332"/>
      <c r="E99" s="335">
        <f>ROUND('Tabell 4.1–4.3'!Y11,0)</f>
        <v>98135</v>
      </c>
      <c r="F99" s="335"/>
      <c r="G99" s="335">
        <f>ROUND('Tabell 4.1–4.3'!AA11,0)</f>
        <v>103826</v>
      </c>
      <c r="H99" s="335"/>
      <c r="I99" s="335">
        <f>ROUND('Tabell 4.1–4.3'!AC11,0)</f>
        <v>106011</v>
      </c>
      <c r="J99" s="335"/>
      <c r="K99" s="335">
        <f>ROUND('Tabell 4.1–4.3'!AE11,0)</f>
        <v>113036</v>
      </c>
      <c r="L99" s="335"/>
      <c r="M99" s="335">
        <f>ROUND('Tabell 4.1–4.3'!AG11,0)</f>
        <v>115886</v>
      </c>
      <c r="N99" s="335"/>
      <c r="O99" s="335">
        <f>ROUND('Tabell 4.1–4.3'!AI11,0)</f>
        <v>117422</v>
      </c>
      <c r="P99" s="335"/>
      <c r="Q99" s="335">
        <f>ROUND('Tabell 4.1–4.3'!AK11,0)</f>
        <v>121971</v>
      </c>
      <c r="R99" s="335"/>
      <c r="S99" s="335">
        <f>ROUND('Tabell 4.1–4.3'!AM11,0)</f>
        <v>123914</v>
      </c>
      <c r="T99" s="335"/>
      <c r="U99" s="335">
        <f>ROUND('Tabell 4.1–4.3'!AO11,0)</f>
        <v>128894</v>
      </c>
      <c r="V99" s="335"/>
      <c r="W99" s="335">
        <f>ROUND('Tabell 4.1–4.3'!AQ11,0)</f>
        <v>132454</v>
      </c>
      <c r="X99" s="335"/>
      <c r="Y99" s="335">
        <f>ROUND('Tabell 4.1–4.3'!AS11,0)</f>
        <v>116302</v>
      </c>
      <c r="AA99" s="336"/>
      <c r="AC99" s="237" t="str">
        <f t="shared" si="4"/>
        <v>Railway Transport/Traffic/Passenger train movements/Train-km [IV-07] (1000)/Total,A-IV-01-21-29_1-0_0,116302,,</v>
      </c>
      <c r="AD99" s="239"/>
    </row>
    <row r="100" spans="1:30">
      <c r="A100" s="331" t="s">
        <v>1335</v>
      </c>
      <c r="B100" s="332" t="s">
        <v>981</v>
      </c>
      <c r="C100" s="334"/>
      <c r="D100" s="332" t="s">
        <v>975</v>
      </c>
      <c r="E100" s="335">
        <f>ROUND('Tabell 4.1–4.3'!Y9,0)</f>
        <v>91344</v>
      </c>
      <c r="F100" s="335"/>
      <c r="G100" s="335">
        <f>ROUND('Tabell 4.1–4.3'!AA9,0)</f>
        <v>97084</v>
      </c>
      <c r="H100" s="335"/>
      <c r="I100" s="335">
        <f>ROUND('Tabell 4.1–4.3'!AC9,0)</f>
        <v>99488</v>
      </c>
      <c r="J100" s="335"/>
      <c r="K100" s="335">
        <f>ROUND('Tabell 4.1–4.3'!AE9,0)</f>
        <v>106878</v>
      </c>
      <c r="L100" s="335"/>
      <c r="M100" s="335">
        <f>ROUND('Tabell 4.1–4.3'!AG9,0)</f>
        <v>109912</v>
      </c>
      <c r="N100" s="335"/>
      <c r="O100" s="335">
        <f>ROUND('Tabell 4.1–4.3'!AI9,0)</f>
        <v>111637</v>
      </c>
      <c r="P100" s="335"/>
      <c r="Q100" s="335">
        <f>ROUND('Tabell 4.1–4.3'!AK9,0)</f>
        <v>116458</v>
      </c>
      <c r="R100" s="335"/>
      <c r="S100" s="335">
        <f>ROUND('Tabell 4.1–4.3'!AM9,0)</f>
        <v>119065</v>
      </c>
      <c r="T100" s="335"/>
      <c r="U100" s="335">
        <f>ROUND('Tabell 4.1–4.3'!AO9,0)</f>
        <v>123793</v>
      </c>
      <c r="V100" s="335"/>
      <c r="W100" s="335">
        <f>ROUND('Tabell 4.1–4.3'!AQ9,0)</f>
        <v>126817</v>
      </c>
      <c r="X100" s="335"/>
      <c r="Y100" s="335">
        <f>ROUND('Tabell 4.1–4.3'!AS9,0)</f>
        <v>111013</v>
      </c>
      <c r="AA100" s="336"/>
      <c r="AC100" s="237" t="str">
        <f t="shared" si="4"/>
        <v>Railway Transport/Traffic/Passenger train movements/Train-km [IV-07] (1000)/Total/By type of tractive vehicle and source of power/Electric locomotives,A-IV-01-21-29_1-22_11,111013,,Incl. electric railcars</v>
      </c>
      <c r="AD100" s="239"/>
    </row>
    <row r="101" spans="1:30">
      <c r="A101" s="331" t="s">
        <v>1336</v>
      </c>
      <c r="B101" s="332" t="s">
        <v>982</v>
      </c>
      <c r="C101" s="334"/>
      <c r="D101" s="332" t="s">
        <v>977</v>
      </c>
      <c r="E101" s="335">
        <f>ROUND('Tabell 4.1–4.3'!Y10,0)</f>
        <v>6790</v>
      </c>
      <c r="F101" s="335"/>
      <c r="G101" s="335">
        <f>ROUND('Tabell 4.1–4.3'!AA10,0)</f>
        <v>6742</v>
      </c>
      <c r="H101" s="335"/>
      <c r="I101" s="335">
        <f>ROUND('Tabell 4.1–4.3'!AC10,0)</f>
        <v>6523</v>
      </c>
      <c r="J101" s="335"/>
      <c r="K101" s="335">
        <f>ROUND('Tabell 4.1–4.3'!AE10,0)</f>
        <v>6158</v>
      </c>
      <c r="L101" s="335"/>
      <c r="M101" s="335">
        <f>ROUND('Tabell 4.1–4.3'!AG10,0)</f>
        <v>5974</v>
      </c>
      <c r="N101" s="335"/>
      <c r="O101" s="335">
        <f>ROUND('Tabell 4.1–4.3'!AI10,0)</f>
        <v>5785</v>
      </c>
      <c r="P101" s="335"/>
      <c r="Q101" s="335">
        <f>ROUND('Tabell 4.1–4.3'!AK10,0)</f>
        <v>5514</v>
      </c>
      <c r="R101" s="335"/>
      <c r="S101" s="335">
        <f>ROUND('Tabell 4.1–4.3'!AM10,0)</f>
        <v>4849</v>
      </c>
      <c r="T101" s="335"/>
      <c r="U101" s="335">
        <f>ROUND('Tabell 4.1–4.3'!AO10,0)</f>
        <v>5102</v>
      </c>
      <c r="V101" s="335"/>
      <c r="W101" s="335">
        <f>ROUND('Tabell 4.1–4.3'!AQ10,0)</f>
        <v>5637</v>
      </c>
      <c r="X101" s="335"/>
      <c r="Y101" s="335">
        <f>ROUND('Tabell 4.1–4.3'!AS10,0)</f>
        <v>5289</v>
      </c>
      <c r="AA101" s="336"/>
      <c r="AC101" s="237" t="str">
        <f t="shared" si="4"/>
        <v>Railway Transport/Traffic/Passenger train movements/Train-km [IV-07] (1000)/Total/By type of tractive vehicle and source of power/Diesel locomotives,A-IV-01-21-29_1-22_12,5289,,Incl. diesel railcars</v>
      </c>
      <c r="AD101" s="239"/>
    </row>
    <row r="102" spans="1:30">
      <c r="A102" s="331" t="s">
        <v>1337</v>
      </c>
      <c r="B102" s="332" t="s">
        <v>983</v>
      </c>
      <c r="C102" s="334" t="s">
        <v>884</v>
      </c>
      <c r="D102" s="332"/>
      <c r="E102" s="337"/>
      <c r="F102" s="337"/>
      <c r="G102" s="337"/>
      <c r="H102" s="337"/>
      <c r="I102" s="337"/>
      <c r="J102" s="337"/>
      <c r="K102" s="337"/>
      <c r="L102" s="337"/>
      <c r="M102" s="337"/>
      <c r="N102" s="337"/>
      <c r="O102" s="337"/>
      <c r="P102" s="337"/>
      <c r="Q102" s="337"/>
      <c r="R102" s="337"/>
      <c r="S102" s="337"/>
      <c r="T102" s="337"/>
      <c r="U102" s="337"/>
      <c r="V102" s="337"/>
      <c r="W102" s="337"/>
      <c r="X102" s="337"/>
      <c r="Y102" s="337"/>
      <c r="AA102" s="336"/>
      <c r="AC102" s="237" t="str">
        <f t="shared" si="4"/>
        <v>Railway Transport/Traffic/Passenger train movements/Train-km [IV-07] (1000)/Total/By type of tractive vehicle and source of power/Electric railcars,A-IV-01-21-29_1-22_21,,:,</v>
      </c>
      <c r="AD102" s="239"/>
    </row>
    <row r="103" spans="1:30">
      <c r="A103" s="331" t="s">
        <v>1338</v>
      </c>
      <c r="B103" s="332" t="s">
        <v>984</v>
      </c>
      <c r="C103" s="334" t="s">
        <v>884</v>
      </c>
      <c r="D103" s="332"/>
      <c r="E103" s="337"/>
      <c r="F103" s="337"/>
      <c r="G103" s="337"/>
      <c r="H103" s="337"/>
      <c r="I103" s="337"/>
      <c r="J103" s="337"/>
      <c r="K103" s="337"/>
      <c r="L103" s="337"/>
      <c r="M103" s="337"/>
      <c r="N103" s="337"/>
      <c r="O103" s="337"/>
      <c r="P103" s="337"/>
      <c r="Q103" s="337"/>
      <c r="R103" s="337"/>
      <c r="S103" s="337"/>
      <c r="T103" s="337"/>
      <c r="U103" s="337"/>
      <c r="V103" s="337"/>
      <c r="W103" s="337"/>
      <c r="X103" s="337"/>
      <c r="Y103" s="337"/>
      <c r="AA103" s="336"/>
      <c r="AC103" s="237" t="str">
        <f t="shared" si="4"/>
        <v>Railway Transport/Traffic/Passenger train movements/Train-km [IV-07] (1000)/Total/By type of tractive vehicle and source of power/Diesel railcars,A-IV-01-21-29_1-22_22,,:,</v>
      </c>
      <c r="AD103" s="239"/>
    </row>
    <row r="104" spans="1:30">
      <c r="A104" s="331" t="s">
        <v>1339</v>
      </c>
      <c r="B104" s="332" t="s">
        <v>985</v>
      </c>
      <c r="C104" s="334" t="s">
        <v>884</v>
      </c>
      <c r="D104" s="332"/>
      <c r="E104" s="337"/>
      <c r="F104" s="337"/>
      <c r="G104" s="337"/>
      <c r="H104" s="337"/>
      <c r="I104" s="337"/>
      <c r="J104" s="337"/>
      <c r="K104" s="337"/>
      <c r="L104" s="337"/>
      <c r="M104" s="337"/>
      <c r="N104" s="337"/>
      <c r="O104" s="337"/>
      <c r="P104" s="337"/>
      <c r="Q104" s="337"/>
      <c r="R104" s="337"/>
      <c r="S104" s="337"/>
      <c r="T104" s="337"/>
      <c r="U104" s="337"/>
      <c r="V104" s="337"/>
      <c r="W104" s="337"/>
      <c r="X104" s="337"/>
      <c r="Y104" s="337"/>
      <c r="AA104" s="336"/>
      <c r="AC104" s="237" t="str">
        <f t="shared" si="4"/>
        <v>Railway Transport/Traffic/Passenger train movements/Train-km [IV-07] (1000)/Total/By type of train/High speed trains,A-IV-01-21-29_1-83_1,,:,</v>
      </c>
      <c r="AD104" s="239"/>
    </row>
    <row r="105" spans="1:30">
      <c r="A105" s="331" t="s">
        <v>1340</v>
      </c>
      <c r="B105" s="332" t="s">
        <v>986</v>
      </c>
      <c r="C105" s="334" t="s">
        <v>884</v>
      </c>
      <c r="D105" s="332"/>
      <c r="E105" s="337"/>
      <c r="F105" s="337"/>
      <c r="G105" s="337"/>
      <c r="H105" s="337"/>
      <c r="I105" s="337"/>
      <c r="J105" s="337"/>
      <c r="K105" s="337"/>
      <c r="L105" s="337"/>
      <c r="M105" s="337"/>
      <c r="N105" s="337"/>
      <c r="O105" s="337"/>
      <c r="P105" s="337"/>
      <c r="Q105" s="337"/>
      <c r="R105" s="337"/>
      <c r="S105" s="337"/>
      <c r="T105" s="337"/>
      <c r="U105" s="337"/>
      <c r="V105" s="337"/>
      <c r="W105" s="337"/>
      <c r="X105" s="337"/>
      <c r="Y105" s="337"/>
      <c r="AA105" s="336"/>
      <c r="AC105" s="237" t="str">
        <f t="shared" si="4"/>
        <v>Railway Transport/Traffic/Passenger train movements/Train-km [IV-07] (1000)/Total/By type of train/High speed tilting trains,A-IV-01-21-29_1-83_2,,:,</v>
      </c>
      <c r="AD105" s="239"/>
    </row>
    <row r="106" spans="1:30">
      <c r="A106" s="331" t="s">
        <v>1341</v>
      </c>
      <c r="B106" s="332" t="s">
        <v>987</v>
      </c>
      <c r="C106" s="334" t="s">
        <v>884</v>
      </c>
      <c r="D106" s="332"/>
      <c r="E106" s="337"/>
      <c r="F106" s="337"/>
      <c r="G106" s="337"/>
      <c r="H106" s="337"/>
      <c r="I106" s="337"/>
      <c r="J106" s="337"/>
      <c r="K106" s="337"/>
      <c r="L106" s="337"/>
      <c r="M106" s="337"/>
      <c r="N106" s="337"/>
      <c r="O106" s="337"/>
      <c r="P106" s="337"/>
      <c r="Q106" s="337"/>
      <c r="R106" s="337"/>
      <c r="S106" s="337"/>
      <c r="T106" s="337"/>
      <c r="U106" s="337"/>
      <c r="V106" s="337"/>
      <c r="W106" s="337"/>
      <c r="X106" s="337"/>
      <c r="Y106" s="337"/>
      <c r="AA106" s="336"/>
      <c r="AC106" s="237" t="str">
        <f t="shared" si="4"/>
        <v>Railway Transport/Traffic/Passenger train movements/Train-km [IV-07] (1000)/Total/By type of train/Conventional trains,A-IV-01-21-29_1-83_3,,:,</v>
      </c>
      <c r="AD106" s="239"/>
    </row>
    <row r="107" spans="1:30">
      <c r="A107" s="331" t="s">
        <v>1342</v>
      </c>
      <c r="B107" s="332" t="s">
        <v>988</v>
      </c>
      <c r="C107" s="334"/>
      <c r="D107" s="332"/>
      <c r="E107" s="335">
        <f>ROUND('Tabell 4.1–4.3'!Y17,0)</f>
        <v>42447</v>
      </c>
      <c r="F107" s="335"/>
      <c r="G107" s="335">
        <f>ROUND('Tabell 4.1–4.3'!AA17,0)</f>
        <v>43364</v>
      </c>
      <c r="H107" s="335"/>
      <c r="I107" s="335">
        <f>ROUND('Tabell 4.1–4.3'!AC17,0)</f>
        <v>39719</v>
      </c>
      <c r="J107" s="335"/>
      <c r="K107" s="335">
        <f>ROUND('Tabell 4.1–4.3'!AE17,0)</f>
        <v>38149</v>
      </c>
      <c r="L107" s="335"/>
      <c r="M107" s="335">
        <f>ROUND('Tabell 4.1–4.3'!AG17,0)</f>
        <v>37098</v>
      </c>
      <c r="N107" s="335"/>
      <c r="O107" s="335">
        <f>ROUND('Tabell 4.1–4.3'!AI17,0)</f>
        <v>35458</v>
      </c>
      <c r="P107" s="335"/>
      <c r="Q107" s="335">
        <f>ROUND('Tabell 4.1–4.3'!AK17,0)</f>
        <v>35752</v>
      </c>
      <c r="R107" s="335"/>
      <c r="S107" s="335">
        <f>ROUND('Tabell 4.1–4.3'!AM17,0)</f>
        <v>36469</v>
      </c>
      <c r="T107" s="335"/>
      <c r="U107" s="335">
        <f>ROUND('Tabell 4.1–4.3'!AO17,0)</f>
        <v>36201</v>
      </c>
      <c r="V107" s="335"/>
      <c r="W107" s="335">
        <f>ROUND('Tabell 4.1–4.3'!AQ17,0)</f>
        <v>35601</v>
      </c>
      <c r="X107" s="335"/>
      <c r="Y107" s="335">
        <f>ROUND('Tabell 4.1–4.3'!AS17,0)</f>
        <v>35051</v>
      </c>
      <c r="AA107" s="336"/>
      <c r="AC107" s="237" t="str">
        <f t="shared" si="4"/>
        <v>Railway Transport/Traffic/Goods train movements/Train-km [IV-07] (1000)/Total,A-IV-01-21-29_2-0_0,35051,,</v>
      </c>
      <c r="AD107" s="239"/>
    </row>
    <row r="108" spans="1:30">
      <c r="A108" s="331" t="s">
        <v>1343</v>
      </c>
      <c r="B108" s="332" t="s">
        <v>989</v>
      </c>
      <c r="C108" s="334"/>
      <c r="D108" s="332" t="s">
        <v>975</v>
      </c>
      <c r="E108" s="335">
        <f>ROUND('Tabell 4.1–4.3'!Y15,0)</f>
        <v>39167</v>
      </c>
      <c r="F108" s="335"/>
      <c r="G108" s="335">
        <f>ROUND('Tabell 4.1–4.3'!AA15,0)</f>
        <v>40198</v>
      </c>
      <c r="H108" s="335"/>
      <c r="I108" s="335">
        <f>ROUND('Tabell 4.1–4.3'!AC15,0)</f>
        <v>36924</v>
      </c>
      <c r="J108" s="335"/>
      <c r="K108" s="335">
        <f>ROUND('Tabell 4.1–4.3'!AE15,0)</f>
        <v>35362</v>
      </c>
      <c r="L108" s="335"/>
      <c r="M108" s="335">
        <f>ROUND('Tabell 4.1–4.3'!AG15,0)</f>
        <v>34832</v>
      </c>
      <c r="N108" s="335"/>
      <c r="O108" s="335">
        <f>ROUND('Tabell 4.1–4.3'!AI15,0)</f>
        <v>33225</v>
      </c>
      <c r="P108" s="335"/>
      <c r="Q108" s="335">
        <f>ROUND('Tabell 4.1–4.3'!AK15,0)</f>
        <v>33645</v>
      </c>
      <c r="R108" s="335"/>
      <c r="S108" s="335">
        <f>ROUND('Tabell 4.1–4.3'!AM15,0)</f>
        <v>34515</v>
      </c>
      <c r="T108" s="335"/>
      <c r="U108" s="335">
        <f>ROUND('Tabell 4.1–4.3'!AO15,0)</f>
        <v>34148</v>
      </c>
      <c r="V108" s="335"/>
      <c r="W108" s="335">
        <f>ROUND('Tabell 4.1–4.3'!AQ15,0)</f>
        <v>33612</v>
      </c>
      <c r="X108" s="335"/>
      <c r="Y108" s="335">
        <f>ROUND('Tabell 4.1–4.3'!AS15,0)</f>
        <v>33350</v>
      </c>
      <c r="AA108" s="336"/>
      <c r="AC108" s="237" t="str">
        <f t="shared" si="4"/>
        <v>Railway Transport/Traffic/Goods train movements/Train-km [IV-07] (1000)/Total/By type of tractive vehicle and source of power/Electric locomotives,A-IV-01-21-29_2-22_11,33350,,Incl. electric railcars</v>
      </c>
      <c r="AD108" s="239"/>
    </row>
    <row r="109" spans="1:30">
      <c r="A109" s="331" t="s">
        <v>1344</v>
      </c>
      <c r="B109" s="332" t="s">
        <v>990</v>
      </c>
      <c r="C109" s="334"/>
      <c r="D109" s="332" t="s">
        <v>991</v>
      </c>
      <c r="E109" s="335">
        <f>ROUND('Tabell 4.1–4.3'!Y16,0)</f>
        <v>3280</v>
      </c>
      <c r="F109" s="335"/>
      <c r="G109" s="335">
        <f>ROUND('Tabell 4.1–4.3'!AA16,0)</f>
        <v>3166</v>
      </c>
      <c r="H109" s="335"/>
      <c r="I109" s="335">
        <f>ROUND('Tabell 4.1–4.3'!AC16,0)</f>
        <v>2795</v>
      </c>
      <c r="J109" s="335"/>
      <c r="K109" s="335">
        <f>ROUND('Tabell 4.1–4.3'!AE16,0)</f>
        <v>2787</v>
      </c>
      <c r="L109" s="335"/>
      <c r="M109" s="335">
        <f>ROUND('Tabell 4.1–4.3'!AG16,0)</f>
        <v>2265</v>
      </c>
      <c r="N109" s="335"/>
      <c r="O109" s="335">
        <f>ROUND('Tabell 4.1–4.3'!AI16,0)</f>
        <v>2233</v>
      </c>
      <c r="P109" s="335"/>
      <c r="Q109" s="335">
        <f>ROUND('Tabell 4.1–4.3'!AK16,0)</f>
        <v>2107</v>
      </c>
      <c r="R109" s="335"/>
      <c r="S109" s="335">
        <f>ROUND('Tabell 4.1–4.3'!AM16,0)</f>
        <v>1954</v>
      </c>
      <c r="T109" s="335"/>
      <c r="U109" s="335">
        <f>ROUND('Tabell 4.1–4.3'!AO16,0)</f>
        <v>2053</v>
      </c>
      <c r="V109" s="335"/>
      <c r="W109" s="335">
        <f>ROUND('Tabell 4.1–4.3'!AQ16,0)</f>
        <v>1989</v>
      </c>
      <c r="X109" s="335"/>
      <c r="Y109" s="335">
        <f>ROUND('Tabell 4.1–4.3'!AS16,0)</f>
        <v>1701</v>
      </c>
      <c r="AA109" s="336"/>
      <c r="AC109" s="237" t="str">
        <f t="shared" si="4"/>
        <v>Railway Transport/Traffic/Goods train movements/Train-km [IV-07] (1000)/Total/By type of tractive vehicle and source of power/Diesel locomotives,A-IV-01-21-29_2-22_12,1701,,Ncl. diesel railcars</v>
      </c>
      <c r="AD109" s="239"/>
    </row>
    <row r="110" spans="1:30">
      <c r="A110" s="331" t="s">
        <v>1345</v>
      </c>
      <c r="B110" s="332" t="s">
        <v>992</v>
      </c>
      <c r="C110" s="334" t="s">
        <v>884</v>
      </c>
      <c r="D110" s="332"/>
      <c r="E110" s="337"/>
      <c r="F110" s="337"/>
      <c r="G110" s="337"/>
      <c r="H110" s="337"/>
      <c r="I110" s="337"/>
      <c r="J110" s="337"/>
      <c r="K110" s="337"/>
      <c r="L110" s="337"/>
      <c r="M110" s="337"/>
      <c r="N110" s="337"/>
      <c r="O110" s="337"/>
      <c r="P110" s="337"/>
      <c r="Q110" s="337"/>
      <c r="R110" s="337"/>
      <c r="S110" s="337"/>
      <c r="T110" s="337"/>
      <c r="U110" s="337"/>
      <c r="V110" s="337"/>
      <c r="W110" s="337"/>
      <c r="X110" s="337"/>
      <c r="Y110" s="337"/>
      <c r="AA110" s="336"/>
      <c r="AC110" s="237" t="str">
        <f t="shared" si="4"/>
        <v>Railway Transport/Traffic/Goods train movements/Train-km [IV-07] (1000)/Total/By type of tractive vehicle and source of power/Electric railcars,A-IV-01-21-29_2-22_21,,:,</v>
      </c>
      <c r="AD110" s="239"/>
    </row>
    <row r="111" spans="1:30">
      <c r="A111" s="331" t="s">
        <v>1346</v>
      </c>
      <c r="B111" s="332" t="s">
        <v>993</v>
      </c>
      <c r="C111" s="334" t="s">
        <v>884</v>
      </c>
      <c r="D111" s="332"/>
      <c r="E111" s="337"/>
      <c r="F111" s="337"/>
      <c r="G111" s="337"/>
      <c r="H111" s="337"/>
      <c r="I111" s="337"/>
      <c r="J111" s="337"/>
      <c r="K111" s="337"/>
      <c r="L111" s="337"/>
      <c r="M111" s="337"/>
      <c r="N111" s="337"/>
      <c r="O111" s="337"/>
      <c r="P111" s="337"/>
      <c r="Q111" s="337"/>
      <c r="R111" s="337"/>
      <c r="S111" s="337"/>
      <c r="T111" s="337"/>
      <c r="U111" s="337"/>
      <c r="V111" s="337"/>
      <c r="W111" s="337"/>
      <c r="X111" s="337"/>
      <c r="Y111" s="337"/>
      <c r="AA111" s="336"/>
      <c r="AC111" s="237" t="str">
        <f t="shared" si="4"/>
        <v>Railway Transport/Traffic/Goods train movements/Train-km [IV-07] (1000)/Total/By type of tractive vehicle and source of power/Diesel railcars,A-IV-01-21-29_2-22_22,,:,</v>
      </c>
      <c r="AD111" s="239"/>
    </row>
    <row r="112" spans="1:30">
      <c r="A112" s="331" t="s">
        <v>1347</v>
      </c>
      <c r="B112" s="332" t="s">
        <v>994</v>
      </c>
      <c r="C112" s="334" t="s">
        <v>884</v>
      </c>
      <c r="D112" s="332"/>
      <c r="E112" s="337"/>
      <c r="F112" s="337"/>
      <c r="G112" s="337"/>
      <c r="H112" s="337"/>
      <c r="I112" s="337"/>
      <c r="J112" s="337"/>
      <c r="K112" s="337"/>
      <c r="L112" s="337"/>
      <c r="M112" s="337"/>
      <c r="N112" s="337"/>
      <c r="O112" s="337"/>
      <c r="P112" s="337"/>
      <c r="Q112" s="337"/>
      <c r="R112" s="337"/>
      <c r="S112" s="337"/>
      <c r="T112" s="337"/>
      <c r="U112" s="337"/>
      <c r="V112" s="337"/>
      <c r="W112" s="337"/>
      <c r="X112" s="337"/>
      <c r="Y112" s="337"/>
      <c r="AA112" s="336"/>
      <c r="AC112" s="237" t="str">
        <f t="shared" si="4"/>
        <v>Railway Transport/Traffic/Other train movements/Train-km [IV-07] (1000)/Total,A-IV-01-21-29_3-0_0,,:,</v>
      </c>
      <c r="AD112" s="239"/>
    </row>
    <row r="113" spans="1:30">
      <c r="A113" s="331" t="s">
        <v>1348</v>
      </c>
      <c r="B113" s="332" t="s">
        <v>995</v>
      </c>
      <c r="C113" s="334"/>
      <c r="D113" s="332"/>
      <c r="E113" s="335">
        <f>ROUND('Tabell 4.1–4.3'!Y43,0)</f>
        <v>65599</v>
      </c>
      <c r="F113" s="335"/>
      <c r="G113" s="335">
        <f>ROUND('Tabell 4.1–4.3'!AA43,0)</f>
        <v>67041</v>
      </c>
      <c r="H113" s="335"/>
      <c r="I113" s="335">
        <f>ROUND('Tabell 4.1–4.3'!AC43,0)</f>
        <v>64911</v>
      </c>
      <c r="J113" s="335"/>
      <c r="K113" s="335">
        <f>ROUND('Tabell 4.1–4.3'!AE43,0)</f>
        <v>65615</v>
      </c>
      <c r="L113" s="335"/>
      <c r="M113" s="335">
        <f>ROUND('Tabell 4.1–4.3'!AG43,0)</f>
        <v>65847</v>
      </c>
      <c r="N113" s="335"/>
      <c r="O113" s="335">
        <f>ROUND('Tabell 4.1–4.3'!AI43,0)</f>
        <v>65211</v>
      </c>
      <c r="P113" s="335"/>
      <c r="Q113" s="335">
        <f>ROUND('Tabell 4.1–4.3'!AK43,0)</f>
        <v>67540</v>
      </c>
      <c r="R113" s="335"/>
      <c r="S113" s="335">
        <f>ROUND('Tabell 4.1–4.3'!AM43,0)</f>
        <v>69357</v>
      </c>
      <c r="T113" s="335"/>
      <c r="U113" s="335">
        <f>ROUND('Tabell 4.1–4.3'!AO43,0)</f>
        <v>71101</v>
      </c>
      <c r="V113" s="335"/>
      <c r="W113" s="335">
        <f>ROUND('Tabell 4.1–4.3'!AQ43,0)</f>
        <v>71230</v>
      </c>
      <c r="X113" s="335"/>
      <c r="Y113" s="335">
        <f>ROUND('Tabell 4.1–4.3'!AS43,0)</f>
        <v>69025</v>
      </c>
      <c r="AA113" s="336"/>
      <c r="AC113" s="237" t="str">
        <f t="shared" si="4"/>
        <v>Railway Transport/Traffic/Hauled vehicle movements/Gross-Tonne-km (millions) [IV-14]/Total,A-IV-03-03-0_0-0_0,69025,,</v>
      </c>
      <c r="AD113" s="239"/>
    </row>
    <row r="114" spans="1:30">
      <c r="A114" s="331" t="s">
        <v>1349</v>
      </c>
      <c r="B114" s="332" t="s">
        <v>996</v>
      </c>
      <c r="C114" s="334"/>
      <c r="D114" s="332" t="s">
        <v>975</v>
      </c>
      <c r="E114" s="335">
        <f>ROUND('Tabell 4.1–4.3'!Y41,0)</f>
        <v>63226</v>
      </c>
      <c r="F114" s="335"/>
      <c r="G114" s="335">
        <f>ROUND('Tabell 4.1–4.3'!AA41,0)</f>
        <v>64335</v>
      </c>
      <c r="H114" s="335"/>
      <c r="I114" s="335">
        <f>ROUND('Tabell 4.1–4.3'!AC41,0)</f>
        <v>62699</v>
      </c>
      <c r="J114" s="335"/>
      <c r="K114" s="335">
        <f>ROUND('Tabell 4.1–4.3'!AE41,0)</f>
        <v>63087</v>
      </c>
      <c r="L114" s="335"/>
      <c r="M114" s="335">
        <f>ROUND('Tabell 4.1–4.3'!AG41,0)</f>
        <v>64069</v>
      </c>
      <c r="N114" s="335"/>
      <c r="O114" s="335">
        <f>ROUND('Tabell 4.1–4.3'!AI41,0)</f>
        <v>63538</v>
      </c>
      <c r="P114" s="335"/>
      <c r="Q114" s="335">
        <f>ROUND('Tabell 4.1–4.3'!AK41,0)</f>
        <v>65904</v>
      </c>
      <c r="R114" s="335"/>
      <c r="S114" s="335">
        <f>ROUND('Tabell 4.1–4.3'!AM41,0)</f>
        <v>67801</v>
      </c>
      <c r="T114" s="335"/>
      <c r="U114" s="335">
        <f>ROUND('Tabell 4.1–4.3'!AO41,0)</f>
        <v>69474</v>
      </c>
      <c r="V114" s="335"/>
      <c r="W114" s="335">
        <f>ROUND('Tabell 4.1–4.3'!AQ41,0)</f>
        <v>69643</v>
      </c>
      <c r="X114" s="335"/>
      <c r="Y114" s="335">
        <f>ROUND('Tabell 4.1–4.3'!AS41,0)</f>
        <v>66983</v>
      </c>
      <c r="AA114" s="336"/>
      <c r="AC114" s="237" t="str">
        <f t="shared" si="4"/>
        <v>Railway Transport/Traffic/Hauled vehicle movements/Gross-Tonne-km (millions) [IV-14]/By type of tractive vehicle and source of power/Electric locomotives,A-IV-03-03-22_11-0_0,66983,,Incl. electric railcars</v>
      </c>
      <c r="AD114" s="239"/>
    </row>
    <row r="115" spans="1:30">
      <c r="A115" s="331" t="s">
        <v>1350</v>
      </c>
      <c r="B115" s="332" t="s">
        <v>997</v>
      </c>
      <c r="C115" s="334"/>
      <c r="D115" s="332" t="s">
        <v>977</v>
      </c>
      <c r="E115" s="335">
        <f>ROUND('Tabell 4.1–4.3'!Y42,0)</f>
        <v>2373</v>
      </c>
      <c r="F115" s="335"/>
      <c r="G115" s="335">
        <f>ROUND('Tabell 4.1–4.3'!AA42,0)</f>
        <v>2706</v>
      </c>
      <c r="H115" s="335"/>
      <c r="I115" s="335">
        <f>ROUND('Tabell 4.1–4.3'!AC42,0)</f>
        <v>2212</v>
      </c>
      <c r="J115" s="335"/>
      <c r="K115" s="335">
        <f>ROUND('Tabell 4.1–4.3'!AE42,0)</f>
        <v>2528</v>
      </c>
      <c r="L115" s="335"/>
      <c r="M115" s="335">
        <f>ROUND('Tabell 4.1–4.3'!AG42,0)</f>
        <v>1778</v>
      </c>
      <c r="N115" s="335"/>
      <c r="O115" s="335">
        <f>ROUND('Tabell 4.1–4.3'!AI42,0)</f>
        <v>1673</v>
      </c>
      <c r="P115" s="335"/>
      <c r="Q115" s="335">
        <f>ROUND('Tabell 4.1–4.3'!AK42,0)</f>
        <v>1636</v>
      </c>
      <c r="R115" s="335"/>
      <c r="S115" s="335">
        <f>ROUND('Tabell 4.1–4.3'!AM42,0)</f>
        <v>1555</v>
      </c>
      <c r="T115" s="335"/>
      <c r="U115" s="335">
        <f>ROUND('Tabell 4.1–4.3'!AO42,0)</f>
        <v>1627</v>
      </c>
      <c r="V115" s="335"/>
      <c r="W115" s="335">
        <f>ROUND('Tabell 4.1–4.3'!AQ42,0)</f>
        <v>1587</v>
      </c>
      <c r="X115" s="335"/>
      <c r="Y115" s="335">
        <f>ROUND('Tabell 4.1–4.3'!AS42,0)</f>
        <v>2042</v>
      </c>
      <c r="AA115" s="336"/>
      <c r="AC115" s="237" t="str">
        <f t="shared" si="4"/>
        <v>Railway Transport/Traffic/Hauled vehicle movements/Gross-Tonne-km (millions) [IV-14]/By type of tractive vehicle and source of power/Diesel locomotives,A-IV-03-03-22_12-0_0,2042,,Incl. diesel railcars</v>
      </c>
      <c r="AD115" s="239"/>
    </row>
    <row r="116" spans="1:30">
      <c r="A116" s="331" t="s">
        <v>1351</v>
      </c>
      <c r="B116" s="332" t="s">
        <v>998</v>
      </c>
      <c r="C116" s="334" t="s">
        <v>884</v>
      </c>
      <c r="D116" s="332"/>
      <c r="E116" s="337"/>
      <c r="F116" s="337"/>
      <c r="G116" s="337"/>
      <c r="H116" s="337"/>
      <c r="I116" s="337"/>
      <c r="J116" s="337"/>
      <c r="K116" s="337"/>
      <c r="L116" s="337"/>
      <c r="M116" s="337"/>
      <c r="N116" s="337"/>
      <c r="O116" s="337"/>
      <c r="P116" s="337"/>
      <c r="Q116" s="337"/>
      <c r="R116" s="337"/>
      <c r="S116" s="337"/>
      <c r="T116" s="337"/>
      <c r="U116" s="337"/>
      <c r="V116" s="337"/>
      <c r="W116" s="337"/>
      <c r="X116" s="337"/>
      <c r="Y116" s="337"/>
      <c r="AA116" s="336"/>
      <c r="AC116" s="237" t="str">
        <f t="shared" si="4"/>
        <v>Railway Transport/Traffic/Hauled vehicle movements/Gross-Tonne-km (millions) [IV-14]/By type of tractive vehicle and source of power/Electric railcars,A-IV-03-03-22_21-0_0,,:,</v>
      </c>
      <c r="AD116" s="239"/>
    </row>
    <row r="117" spans="1:30">
      <c r="A117" s="331" t="s">
        <v>1352</v>
      </c>
      <c r="B117" s="332" t="s">
        <v>999</v>
      </c>
      <c r="C117" s="334" t="s">
        <v>884</v>
      </c>
      <c r="D117" s="332"/>
      <c r="E117" s="337"/>
      <c r="F117" s="337"/>
      <c r="G117" s="337"/>
      <c r="H117" s="337"/>
      <c r="I117" s="337"/>
      <c r="J117" s="337"/>
      <c r="K117" s="337"/>
      <c r="L117" s="337"/>
      <c r="M117" s="337"/>
      <c r="N117" s="337"/>
      <c r="O117" s="337"/>
      <c r="P117" s="337"/>
      <c r="Q117" s="337"/>
      <c r="R117" s="337"/>
      <c r="S117" s="337"/>
      <c r="T117" s="337"/>
      <c r="U117" s="337"/>
      <c r="V117" s="337"/>
      <c r="W117" s="337"/>
      <c r="X117" s="337"/>
      <c r="Y117" s="337"/>
      <c r="AA117" s="336"/>
      <c r="AC117" s="237" t="str">
        <f t="shared" si="4"/>
        <v>Railway Transport/Traffic/Hauled vehicle movements/Gross-Tonne-km (millions) [IV-14]/By type of tractive vehicle and source of power/Diesel railcars,A-IV-03-03-22_22-0_0,,:,</v>
      </c>
      <c r="AD117" s="239"/>
    </row>
    <row r="118" spans="1:30">
      <c r="A118" s="331" t="s">
        <v>1353</v>
      </c>
      <c r="B118" s="332" t="s">
        <v>1000</v>
      </c>
      <c r="C118" s="334" t="s">
        <v>884</v>
      </c>
      <c r="D118" s="332"/>
      <c r="E118" s="337"/>
      <c r="F118" s="337"/>
      <c r="G118" s="337"/>
      <c r="H118" s="337"/>
      <c r="I118" s="337"/>
      <c r="J118" s="337"/>
      <c r="K118" s="337"/>
      <c r="L118" s="337"/>
      <c r="M118" s="337"/>
      <c r="N118" s="337"/>
      <c r="O118" s="337"/>
      <c r="P118" s="337"/>
      <c r="Q118" s="337"/>
      <c r="R118" s="337"/>
      <c r="S118" s="337"/>
      <c r="T118" s="337"/>
      <c r="U118" s="337"/>
      <c r="V118" s="337"/>
      <c r="W118" s="337"/>
      <c r="X118" s="337"/>
      <c r="Y118" s="337"/>
      <c r="AA118" s="336"/>
      <c r="AC118" s="237" t="str">
        <f t="shared" si="4"/>
        <v>Railway Transport/Traffic/Hauled vehicle movements/Hauled vehicle-km [IV-9] (Millions)/Total,A-IV-03-04-0_0-0_0,,:,</v>
      </c>
      <c r="AD118" s="239"/>
    </row>
    <row r="119" spans="1:30">
      <c r="A119" s="331" t="s">
        <v>1354</v>
      </c>
      <c r="B119" s="332" t="s">
        <v>1001</v>
      </c>
      <c r="C119" s="334" t="s">
        <v>884</v>
      </c>
      <c r="D119" s="332"/>
      <c r="E119" s="337"/>
      <c r="F119" s="337"/>
      <c r="G119" s="337"/>
      <c r="H119" s="337"/>
      <c r="I119" s="337"/>
      <c r="J119" s="337"/>
      <c r="K119" s="337"/>
      <c r="L119" s="337"/>
      <c r="M119" s="337"/>
      <c r="N119" s="337"/>
      <c r="O119" s="337"/>
      <c r="P119" s="337"/>
      <c r="Q119" s="337"/>
      <c r="R119" s="337"/>
      <c r="S119" s="337"/>
      <c r="T119" s="337"/>
      <c r="U119" s="337"/>
      <c r="V119" s="337"/>
      <c r="W119" s="337"/>
      <c r="X119" s="337"/>
      <c r="Y119" s="337"/>
      <c r="AA119" s="336"/>
      <c r="AC119" s="237" t="str">
        <f t="shared" si="4"/>
        <v>Railway Transport/Traffic/Hauled vehicle movements/Hauled vehicle-km [IV-9] (Millions)/Total/By type of hauled vehicle/Passenger railway vehicles,A-IV-03-04-21_10-0_0,,:,</v>
      </c>
      <c r="AD119" s="239"/>
    </row>
    <row r="120" spans="1:30">
      <c r="A120" s="331" t="s">
        <v>1355</v>
      </c>
      <c r="B120" s="332" t="s">
        <v>1002</v>
      </c>
      <c r="C120" s="334" t="s">
        <v>884</v>
      </c>
      <c r="D120" s="332"/>
      <c r="E120" s="337"/>
      <c r="F120" s="337"/>
      <c r="G120" s="337"/>
      <c r="H120" s="337"/>
      <c r="I120" s="337"/>
      <c r="J120" s="337"/>
      <c r="K120" s="337"/>
      <c r="L120" s="337"/>
      <c r="M120" s="337"/>
      <c r="N120" s="337"/>
      <c r="O120" s="337"/>
      <c r="P120" s="337"/>
      <c r="Q120" s="337"/>
      <c r="R120" s="337"/>
      <c r="S120" s="337"/>
      <c r="T120" s="337"/>
      <c r="U120" s="337"/>
      <c r="V120" s="337"/>
      <c r="W120" s="337"/>
      <c r="X120" s="337"/>
      <c r="Y120" s="337"/>
      <c r="AA120" s="336"/>
      <c r="AC120" s="237" t="str">
        <f t="shared" si="4"/>
        <v>Railway Transport/Traffic/Hauled vehicle movements/Hauled vehicle-km [IV-9] (Millions)/Total/By type of hauled vehicle/Vans,A-IV-03-04-21_20-0_0,,:,</v>
      </c>
      <c r="AD120" s="239"/>
    </row>
    <row r="121" spans="1:30">
      <c r="A121" s="331" t="s">
        <v>1356</v>
      </c>
      <c r="B121" s="332" t="s">
        <v>1003</v>
      </c>
      <c r="C121" s="334" t="s">
        <v>884</v>
      </c>
      <c r="D121" s="332"/>
      <c r="E121" s="337"/>
      <c r="F121" s="337"/>
      <c r="G121" s="337"/>
      <c r="H121" s="337"/>
      <c r="I121" s="337"/>
      <c r="J121" s="337"/>
      <c r="K121" s="337"/>
      <c r="L121" s="337"/>
      <c r="M121" s="337"/>
      <c r="N121" s="337"/>
      <c r="O121" s="337"/>
      <c r="P121" s="337"/>
      <c r="Q121" s="337"/>
      <c r="R121" s="337"/>
      <c r="S121" s="337"/>
      <c r="T121" s="337"/>
      <c r="U121" s="337"/>
      <c r="V121" s="337"/>
      <c r="W121" s="337"/>
      <c r="X121" s="337"/>
      <c r="Y121" s="337"/>
      <c r="AA121" s="336"/>
      <c r="AC121" s="237" t="str">
        <f t="shared" si="4"/>
        <v>Railway Transport/Traffic/Hauled vehicle movements/Hauled vehicle-km [IV-9] (Millions)/Total/By type of hauled vehicle/Wagons,A-IV-03-04-21_30-0_0,,:,</v>
      </c>
      <c r="AD121" s="239"/>
    </row>
    <row r="122" spans="1:30">
      <c r="A122" s="331" t="s">
        <v>1357</v>
      </c>
      <c r="B122" s="332" t="s">
        <v>1004</v>
      </c>
      <c r="C122" s="334" t="s">
        <v>884</v>
      </c>
      <c r="D122" s="332"/>
      <c r="E122" s="337"/>
      <c r="F122" s="337"/>
      <c r="G122" s="337"/>
      <c r="H122" s="337"/>
      <c r="I122" s="337"/>
      <c r="J122" s="337"/>
      <c r="K122" s="337"/>
      <c r="L122" s="337"/>
      <c r="M122" s="337"/>
      <c r="N122" s="337"/>
      <c r="O122" s="337"/>
      <c r="P122" s="337"/>
      <c r="Q122" s="337"/>
      <c r="R122" s="337"/>
      <c r="S122" s="337"/>
      <c r="T122" s="337"/>
      <c r="U122" s="337"/>
      <c r="V122" s="337"/>
      <c r="W122" s="337"/>
      <c r="X122" s="337"/>
      <c r="Y122" s="337"/>
      <c r="AA122" s="336"/>
      <c r="AC122" s="237" t="str">
        <f t="shared" si="4"/>
        <v>Railway Transport/Traffic/Hauled vehicle movements/Hauled vehicle-km [IV-9] (Millions)/Total/By type of hauled vehicle/Wagons/By status of wagon/Loaded wagons,A-IV-03-04-21_31-0_0,,:,</v>
      </c>
      <c r="AD122" s="239"/>
    </row>
    <row r="123" spans="1:30">
      <c r="A123" s="331" t="s">
        <v>1358</v>
      </c>
      <c r="B123" s="332" t="s">
        <v>1005</v>
      </c>
      <c r="C123" s="334" t="s">
        <v>884</v>
      </c>
      <c r="D123" s="332"/>
      <c r="E123" s="337"/>
      <c r="F123" s="337"/>
      <c r="G123" s="337"/>
      <c r="H123" s="337"/>
      <c r="I123" s="337"/>
      <c r="J123" s="337"/>
      <c r="K123" s="337"/>
      <c r="L123" s="337"/>
      <c r="M123" s="337"/>
      <c r="N123" s="337"/>
      <c r="O123" s="337"/>
      <c r="P123" s="337"/>
      <c r="Q123" s="337"/>
      <c r="R123" s="337"/>
      <c r="S123" s="337"/>
      <c r="T123" s="337"/>
      <c r="U123" s="337"/>
      <c r="V123" s="337"/>
      <c r="W123" s="337"/>
      <c r="X123" s="337"/>
      <c r="Y123" s="337"/>
      <c r="AA123" s="336"/>
      <c r="AC123" s="237" t="str">
        <f t="shared" si="4"/>
        <v>Railway Transport/Traffic/Hauled vehicle movements/Hauled vehicle-km [IV-9] (Millions)/Total/By type of hauled vehicle/Wagons/By status of wagon/Empty wagons,A-IV-03-04-21_32-0_0,,:,</v>
      </c>
      <c r="AD123" s="239"/>
    </row>
    <row r="124" spans="1:30">
      <c r="A124" s="331" t="s">
        <v>1359</v>
      </c>
      <c r="B124" s="332" t="s">
        <v>1006</v>
      </c>
      <c r="C124" s="334"/>
      <c r="D124" s="332"/>
      <c r="E124" s="335">
        <f>ROUND('Tabell 4.1–4.3'!Y32,0)</f>
        <v>20829</v>
      </c>
      <c r="F124" s="335"/>
      <c r="G124" s="335">
        <f>ROUND('Tabell 4.1–4.3'!AA32,0)</f>
        <v>22569</v>
      </c>
      <c r="H124" s="335"/>
      <c r="I124" s="335">
        <f>ROUND('Tabell 4.1–4.3'!AC32,0)</f>
        <v>23869</v>
      </c>
      <c r="J124" s="335"/>
      <c r="K124" s="335">
        <f>ROUND('Tabell 4.1–4.3'!AE32,0)</f>
        <v>25857</v>
      </c>
      <c r="L124" s="335"/>
      <c r="M124" s="335">
        <f>ROUND('Tabell 4.1–4.3'!AG32,0)</f>
        <v>26124</v>
      </c>
      <c r="N124" s="335"/>
      <c r="O124" s="335">
        <f>ROUND('Tabell 4.1–4.3'!AI32,0)</f>
        <v>26653</v>
      </c>
      <c r="P124" s="335"/>
      <c r="Q124" s="335">
        <f>ROUND('Tabell 4.1–4.3'!AK32,0)</f>
        <v>27635</v>
      </c>
      <c r="R124" s="335"/>
      <c r="S124" s="335">
        <f>ROUND('Tabell 4.1–4.3'!AM32,0)</f>
        <v>28657</v>
      </c>
      <c r="T124" s="335"/>
      <c r="U124" s="335">
        <f>ROUND('Tabell 4.1–4.3'!AO32,0)</f>
        <v>29560</v>
      </c>
      <c r="V124" s="335"/>
      <c r="W124" s="335">
        <f>ROUND('Tabell 4.1–4.3'!AQ32,0)</f>
        <v>30422</v>
      </c>
      <c r="X124" s="335"/>
      <c r="Y124" s="335">
        <f>ROUND('Tabell 4.1–4.3'!AS32,0)</f>
        <v>26444</v>
      </c>
      <c r="AA124" s="336"/>
      <c r="AC124" s="237" t="str">
        <f t="shared" si="4"/>
        <v>Railway Transport/Traffic/Hauled vehicle movements in passenger (and mixed) trains/Gross-Tonne-km (millions) [IV-14]/Total,A-IV-03-03-30_1-0_0,26444,,</v>
      </c>
      <c r="AD124" s="239"/>
    </row>
    <row r="125" spans="1:30">
      <c r="A125" s="331" t="s">
        <v>1360</v>
      </c>
      <c r="B125" s="332" t="s">
        <v>1007</v>
      </c>
      <c r="C125" s="334"/>
      <c r="D125" s="332" t="s">
        <v>975</v>
      </c>
      <c r="E125" s="335">
        <f>ROUND('Tabell 4.1–4.3'!Y30,0)</f>
        <v>20339</v>
      </c>
      <c r="F125" s="335"/>
      <c r="G125" s="335">
        <f>ROUND('Tabell 4.1–4.3'!AA30,0)</f>
        <v>22034</v>
      </c>
      <c r="H125" s="335"/>
      <c r="I125" s="335">
        <f>ROUND('Tabell 4.1–4.3'!AC30,0)</f>
        <v>23340</v>
      </c>
      <c r="J125" s="335"/>
      <c r="K125" s="335">
        <f>ROUND('Tabell 4.1–4.3'!AE30,0)</f>
        <v>25366</v>
      </c>
      <c r="L125" s="335"/>
      <c r="M125" s="335">
        <f>ROUND('Tabell 4.1–4.3'!AG30,0)</f>
        <v>25641</v>
      </c>
      <c r="N125" s="335"/>
      <c r="O125" s="335">
        <f>ROUND('Tabell 4.1–4.3'!AI30,0)</f>
        <v>26178</v>
      </c>
      <c r="P125" s="335"/>
      <c r="Q125" s="335">
        <f>ROUND('Tabell 4.1–4.3'!AK30,0)</f>
        <v>27177</v>
      </c>
      <c r="R125" s="335"/>
      <c r="S125" s="335">
        <f>ROUND('Tabell 4.1–4.3'!AM30,0)</f>
        <v>28236</v>
      </c>
      <c r="T125" s="335"/>
      <c r="U125" s="335">
        <f>ROUND('Tabell 4.1–4.3'!AO30,0)</f>
        <v>29109</v>
      </c>
      <c r="V125" s="335"/>
      <c r="W125" s="335">
        <f>ROUND('Tabell 4.1–4.3'!AQ30,0)</f>
        <v>29947</v>
      </c>
      <c r="X125" s="335"/>
      <c r="Y125" s="335">
        <f>ROUND('Tabell 4.1–4.3'!AS30,0)</f>
        <v>25980</v>
      </c>
      <c r="AA125" s="336"/>
      <c r="AC125" s="237" t="str">
        <f t="shared" si="4"/>
        <v>Railway Transport/Traffic/Hauled vehicle movements in passenger (and mixed) trains/Gross-Tonne-km (millions) [IV-14]/Total/By type of tractive vehicle and source of power/Electric locomotives,A-IV-03-03-30_1-22_11,25980,,Incl. electric railcars</v>
      </c>
      <c r="AD125" s="239"/>
    </row>
    <row r="126" spans="1:30">
      <c r="A126" s="331" t="s">
        <v>1361</v>
      </c>
      <c r="B126" s="332" t="s">
        <v>1008</v>
      </c>
      <c r="C126" s="334"/>
      <c r="D126" s="332" t="s">
        <v>977</v>
      </c>
      <c r="E126" s="335">
        <f>ROUND('Tabell 4.1–4.3'!Y31,0)</f>
        <v>491</v>
      </c>
      <c r="F126" s="335"/>
      <c r="G126" s="335">
        <f>ROUND('Tabell 4.1–4.3'!AA31,0)</f>
        <v>534</v>
      </c>
      <c r="H126" s="335"/>
      <c r="I126" s="335">
        <f>ROUND('Tabell 4.1–4.3'!AC31,0)</f>
        <v>529</v>
      </c>
      <c r="J126" s="335"/>
      <c r="K126" s="335">
        <f>ROUND('Tabell 4.1–4.3'!AE31,0)</f>
        <v>490</v>
      </c>
      <c r="L126" s="335"/>
      <c r="M126" s="335">
        <f>ROUND('Tabell 4.1–4.3'!AG31,0)</f>
        <v>484</v>
      </c>
      <c r="N126" s="335"/>
      <c r="O126" s="335">
        <f>ROUND('Tabell 4.1–4.3'!AI31,0)</f>
        <v>475</v>
      </c>
      <c r="P126" s="335"/>
      <c r="Q126" s="335">
        <f>ROUND('Tabell 4.1–4.3'!AK31,0)</f>
        <v>458</v>
      </c>
      <c r="R126" s="335"/>
      <c r="S126" s="335">
        <f>ROUND('Tabell 4.1–4.3'!AM31,0)</f>
        <v>421</v>
      </c>
      <c r="T126" s="335"/>
      <c r="U126" s="335">
        <f>ROUND('Tabell 4.1–4.3'!AO31,0)</f>
        <v>451</v>
      </c>
      <c r="V126" s="335"/>
      <c r="W126" s="335">
        <f>ROUND('Tabell 4.1–4.3'!AQ31,0)</f>
        <v>475</v>
      </c>
      <c r="X126" s="335"/>
      <c r="Y126" s="335">
        <f>ROUND('Tabell 4.1–4.3'!AS31,0)</f>
        <v>463</v>
      </c>
      <c r="AA126" s="336"/>
      <c r="AC126" s="237" t="str">
        <f t="shared" si="4"/>
        <v>Railway Transport/Traffic/Hauled vehicle movements in passenger (and mixed) trains/Gross-Tonne-km (millions) [IV-14]/Total/By type of tractive vehicle and source of power/Diesel locomotives,A-IV-03-03-30_1-22_12,463,,Incl. diesel railcars</v>
      </c>
      <c r="AD126" s="239"/>
    </row>
    <row r="127" spans="1:30">
      <c r="A127" s="331" t="s">
        <v>1362</v>
      </c>
      <c r="B127" s="332" t="s">
        <v>1009</v>
      </c>
      <c r="C127" s="334" t="s">
        <v>884</v>
      </c>
      <c r="D127" s="332"/>
      <c r="E127" s="337"/>
      <c r="F127" s="337"/>
      <c r="G127" s="337"/>
      <c r="H127" s="337"/>
      <c r="I127" s="337"/>
      <c r="J127" s="337"/>
      <c r="K127" s="337"/>
      <c r="L127" s="337"/>
      <c r="M127" s="337"/>
      <c r="N127" s="337"/>
      <c r="O127" s="337"/>
      <c r="P127" s="337"/>
      <c r="Q127" s="337"/>
      <c r="R127" s="337"/>
      <c r="S127" s="337"/>
      <c r="T127" s="337"/>
      <c r="U127" s="337"/>
      <c r="V127" s="337"/>
      <c r="W127" s="337"/>
      <c r="X127" s="337"/>
      <c r="Y127" s="337"/>
      <c r="AA127" s="336"/>
      <c r="AC127" s="237" t="str">
        <f t="shared" si="4"/>
        <v>Railway Transport/Traffic/Hauled vehicle movements in passenger (and mixed) trains/Gross-Tonne-km (millions) [IV-14]/Total/By type of tractive vehicle and source of power/Electric railcars,A-IV-03-03-30_1-22_21,,:,</v>
      </c>
      <c r="AD127" s="239"/>
    </row>
    <row r="128" spans="1:30">
      <c r="A128" s="331" t="s">
        <v>1363</v>
      </c>
      <c r="B128" s="332" t="s">
        <v>1010</v>
      </c>
      <c r="C128" s="334" t="s">
        <v>884</v>
      </c>
      <c r="D128" s="332"/>
      <c r="E128" s="337"/>
      <c r="F128" s="337"/>
      <c r="G128" s="337"/>
      <c r="H128" s="337"/>
      <c r="I128" s="337"/>
      <c r="J128" s="337"/>
      <c r="K128" s="337"/>
      <c r="L128" s="337"/>
      <c r="M128" s="337"/>
      <c r="N128" s="337"/>
      <c r="O128" s="337"/>
      <c r="P128" s="337"/>
      <c r="Q128" s="337"/>
      <c r="R128" s="337"/>
      <c r="S128" s="337"/>
      <c r="T128" s="337"/>
      <c r="U128" s="337"/>
      <c r="V128" s="337"/>
      <c r="W128" s="337"/>
      <c r="X128" s="337"/>
      <c r="Y128" s="337"/>
      <c r="AA128" s="336"/>
      <c r="AC128" s="237" t="str">
        <f t="shared" si="4"/>
        <v>Railway Transport/Traffic/Hauled vehicle movements in passenger (and mixed) trains/Gross-Tonne-km (millions) [IV-14]/Total/By type of tractive vehicle and source of power/Diesel railcars,A-IV-03-03-30_1-22_22,,:,</v>
      </c>
      <c r="AD128" s="239"/>
    </row>
    <row r="129" spans="1:30">
      <c r="A129" s="331" t="s">
        <v>1364</v>
      </c>
      <c r="B129" s="332" t="s">
        <v>1011</v>
      </c>
      <c r="C129" s="334"/>
      <c r="D129" s="332"/>
      <c r="E129" s="335">
        <f>ROUND('Tabell 4.1–4.3'!Y38,0)</f>
        <v>44769</v>
      </c>
      <c r="F129" s="335"/>
      <c r="G129" s="335">
        <f>ROUND('Tabell 4.1–4.3'!AA38,0)</f>
        <v>44472</v>
      </c>
      <c r="H129" s="335"/>
      <c r="I129" s="335">
        <f>ROUND('Tabell 4.1–4.3'!AC38,0)</f>
        <v>41042</v>
      </c>
      <c r="J129" s="335"/>
      <c r="K129" s="335">
        <f>ROUND('Tabell 4.1–4.3'!AE38,0)</f>
        <v>39758</v>
      </c>
      <c r="L129" s="335"/>
      <c r="M129" s="335">
        <f>ROUND('Tabell 4.1–4.3'!AG38,0)</f>
        <v>39723</v>
      </c>
      <c r="N129" s="335"/>
      <c r="O129" s="335">
        <f>ROUND('Tabell 4.1–4.3'!AI38,0)</f>
        <v>38558</v>
      </c>
      <c r="P129" s="335"/>
      <c r="Q129" s="335">
        <f>ROUND('Tabell 4.1–4.3'!AK38,0)</f>
        <v>39905</v>
      </c>
      <c r="R129" s="335"/>
      <c r="S129" s="335">
        <f>ROUND('Tabell 4.1–4.3'!AM38,0)</f>
        <v>40700</v>
      </c>
      <c r="T129" s="335"/>
      <c r="U129" s="335">
        <f>ROUND('Tabell 4.1–4.3'!AO38,0)</f>
        <v>41541</v>
      </c>
      <c r="V129" s="335"/>
      <c r="W129" s="335">
        <f>ROUND('Tabell 4.1–4.3'!AQ38,0)</f>
        <v>40807</v>
      </c>
      <c r="X129" s="335"/>
      <c r="Y129" s="335">
        <f>ROUND('Tabell 4.1–4.3'!AS38,0)</f>
        <v>42581</v>
      </c>
      <c r="AA129" s="336"/>
      <c r="AC129" s="237" t="str">
        <f t="shared" si="4"/>
        <v>Railway Transport/Traffic/Hauled vehicle movements in goods (and mixed) trains/Gross-Tonne-km (millions) [IV-14]/Total,A-IV-03-03-30_2-0_0,42581,,</v>
      </c>
      <c r="AD129" s="239"/>
    </row>
    <row r="130" spans="1:30">
      <c r="A130" s="331" t="s">
        <v>1365</v>
      </c>
      <c r="B130" s="332" t="s">
        <v>1012</v>
      </c>
      <c r="C130" s="334"/>
      <c r="D130" s="332" t="s">
        <v>975</v>
      </c>
      <c r="E130" s="335">
        <f>ROUND('Tabell 4.1–4.3'!Y36,0)</f>
        <v>42887</v>
      </c>
      <c r="F130" s="335"/>
      <c r="G130" s="335">
        <f>ROUND('Tabell 4.1–4.3'!AA36,0)</f>
        <v>42301</v>
      </c>
      <c r="H130" s="335"/>
      <c r="I130" s="335">
        <f>ROUND('Tabell 4.1–4.3'!AC36,0)</f>
        <v>39359</v>
      </c>
      <c r="J130" s="335"/>
      <c r="K130" s="335">
        <f>ROUND('Tabell 4.1–4.3'!AE36,0)</f>
        <v>37720</v>
      </c>
      <c r="L130" s="335"/>
      <c r="M130" s="335">
        <f>ROUND('Tabell 4.1–4.3'!AG36,0)</f>
        <v>38428</v>
      </c>
      <c r="N130" s="335"/>
      <c r="O130" s="335">
        <f>ROUND('Tabell 4.1–4.3'!AI36,0)</f>
        <v>37360</v>
      </c>
      <c r="P130" s="335"/>
      <c r="Q130" s="335">
        <f>ROUND('Tabell 4.1–4.3'!AK36,0)</f>
        <v>38726</v>
      </c>
      <c r="R130" s="335"/>
      <c r="S130" s="335">
        <f>ROUND('Tabell 4.1–4.3'!AM36,0)</f>
        <v>39565</v>
      </c>
      <c r="T130" s="335"/>
      <c r="U130" s="335">
        <f>ROUND('Tabell 4.1–4.3'!AO36,0)</f>
        <v>40364</v>
      </c>
      <c r="V130" s="335"/>
      <c r="W130" s="335">
        <f>ROUND('Tabell 4.1–4.3'!AQ36,0)</f>
        <v>39696</v>
      </c>
      <c r="X130" s="335"/>
      <c r="Y130" s="335">
        <f>ROUND('Tabell 4.1–4.3'!AS36,0)</f>
        <v>41002</v>
      </c>
      <c r="AA130" s="336"/>
      <c r="AC130" s="237" t="str">
        <f t="shared" ref="AC130:AC161" si="5">CONCATENATE(B130,",",A130,",",Y130,",",C130,",",D130)</f>
        <v>Railway Transport/Traffic/Hauled vehicle movements in goods (and mixed) trains/Gross-Tonne-km (millions) [IV-14]/Total/By type of tractive vehicle and source of power/Electric locomotives,A-IV-03-03-30_2-22_11,41002,,Incl. electric railcars</v>
      </c>
      <c r="AD130" s="239"/>
    </row>
    <row r="131" spans="1:30">
      <c r="A131" s="331" t="s">
        <v>1366</v>
      </c>
      <c r="B131" s="332" t="s">
        <v>1013</v>
      </c>
      <c r="C131" s="334"/>
      <c r="D131" s="332" t="s">
        <v>977</v>
      </c>
      <c r="E131" s="335">
        <f>ROUND('Tabell 4.1–4.3'!Y37,0)</f>
        <v>1882</v>
      </c>
      <c r="F131" s="335"/>
      <c r="G131" s="335">
        <f>ROUND('Tabell 4.1–4.3'!AA37,0)</f>
        <v>2171</v>
      </c>
      <c r="H131" s="335"/>
      <c r="I131" s="335">
        <f>ROUND('Tabell 4.1–4.3'!AC37,0)</f>
        <v>1683</v>
      </c>
      <c r="J131" s="335"/>
      <c r="K131" s="335">
        <f>ROUND('Tabell 4.1–4.3'!AE37,0)</f>
        <v>2038</v>
      </c>
      <c r="L131" s="335"/>
      <c r="M131" s="335">
        <f>ROUND('Tabell 4.1–4.3'!AG37,0)</f>
        <v>1294</v>
      </c>
      <c r="N131" s="335"/>
      <c r="O131" s="335">
        <f>ROUND('Tabell 4.1–4.3'!AI37,0)</f>
        <v>1198</v>
      </c>
      <c r="P131" s="335"/>
      <c r="Q131" s="335">
        <f>ROUND('Tabell 4.1–4.3'!AK37,0)</f>
        <v>1178</v>
      </c>
      <c r="R131" s="335"/>
      <c r="S131" s="335">
        <f>ROUND('Tabell 4.1–4.3'!AM37,0)</f>
        <v>1135</v>
      </c>
      <c r="T131" s="335"/>
      <c r="U131" s="335">
        <f>ROUND('Tabell 4.1–4.3'!AO37,0)</f>
        <v>1177</v>
      </c>
      <c r="V131" s="335"/>
      <c r="W131" s="335">
        <f>ROUND('Tabell 4.1–4.3'!AQ37,0)</f>
        <v>1112</v>
      </c>
      <c r="X131" s="335"/>
      <c r="Y131" s="335">
        <f>ROUND('Tabell 4.1–4.3'!AS37,0)</f>
        <v>1579</v>
      </c>
      <c r="AA131" s="336"/>
      <c r="AC131" s="237" t="str">
        <f t="shared" si="5"/>
        <v>Railway Transport/Traffic/Hauled vehicle movements in goods (and mixed) trains/Gross-Tonne-km (millions) [IV-14]/Total/By type of tractive vehicle and source of power/Diesel locomotives,A-IV-03-03-30_2-22_12,1579,,Incl. diesel railcars</v>
      </c>
      <c r="AD131" s="239"/>
    </row>
    <row r="132" spans="1:30">
      <c r="A132" s="331" t="s">
        <v>1367</v>
      </c>
      <c r="B132" s="332" t="s">
        <v>1014</v>
      </c>
      <c r="C132" s="334" t="s">
        <v>884</v>
      </c>
      <c r="D132" s="332"/>
      <c r="E132" s="337"/>
      <c r="F132" s="337"/>
      <c r="G132" s="337"/>
      <c r="H132" s="337"/>
      <c r="I132" s="337"/>
      <c r="J132" s="337"/>
      <c r="K132" s="337"/>
      <c r="L132" s="337"/>
      <c r="M132" s="337"/>
      <c r="N132" s="337"/>
      <c r="O132" s="337"/>
      <c r="P132" s="337"/>
      <c r="Q132" s="337"/>
      <c r="R132" s="337"/>
      <c r="S132" s="337"/>
      <c r="T132" s="337"/>
      <c r="U132" s="337"/>
      <c r="V132" s="337"/>
      <c r="W132" s="337"/>
      <c r="X132" s="337"/>
      <c r="Y132" s="337"/>
      <c r="AA132" s="336"/>
      <c r="AC132" s="237" t="str">
        <f t="shared" si="5"/>
        <v>Railway Transport/Traffic/Hauled vehicle movements in goods (and mixed) trains/Gross-Tonne-km (millions) [IV-14]/Total/By type of tractive vehicle and source of power/Electric railcars,A-IV-03-03-30_2-22_21,,:,</v>
      </c>
      <c r="AD132" s="239"/>
    </row>
    <row r="133" spans="1:30">
      <c r="A133" s="331" t="s">
        <v>1368</v>
      </c>
      <c r="B133" s="332" t="s">
        <v>1015</v>
      </c>
      <c r="C133" s="334" t="s">
        <v>884</v>
      </c>
      <c r="D133" s="332"/>
      <c r="E133" s="337"/>
      <c r="F133" s="337"/>
      <c r="G133" s="337"/>
      <c r="H133" s="337"/>
      <c r="I133" s="337"/>
      <c r="J133" s="337"/>
      <c r="K133" s="337"/>
      <c r="L133" s="337"/>
      <c r="M133" s="337"/>
      <c r="N133" s="337"/>
      <c r="O133" s="337"/>
      <c r="P133" s="337"/>
      <c r="Q133" s="337"/>
      <c r="R133" s="337"/>
      <c r="S133" s="337"/>
      <c r="T133" s="337"/>
      <c r="U133" s="337"/>
      <c r="V133" s="337"/>
      <c r="W133" s="337"/>
      <c r="X133" s="337"/>
      <c r="Y133" s="337"/>
      <c r="AA133" s="336"/>
      <c r="AC133" s="237" t="str">
        <f t="shared" si="5"/>
        <v>Railway Transport/Traffic/Hauled vehicle movements in goods (and mixed) trains/Gross-Tonne-km (millions) [IV-14]/Total/By type of tractive vehicle and source of power/Diesel railcars,A-IV-03-03-30_2-22_22,,:,</v>
      </c>
      <c r="AD133" s="239"/>
    </row>
    <row r="134" spans="1:30">
      <c r="A134" s="331" t="s">
        <v>1369</v>
      </c>
      <c r="B134" s="332" t="s">
        <v>1016</v>
      </c>
      <c r="C134" s="334"/>
      <c r="D134" s="332"/>
      <c r="E134" s="337">
        <v>0</v>
      </c>
      <c r="F134" s="337"/>
      <c r="G134" s="337">
        <v>0</v>
      </c>
      <c r="H134" s="337"/>
      <c r="I134" s="337">
        <v>0</v>
      </c>
      <c r="J134" s="337"/>
      <c r="K134" s="337">
        <v>0</v>
      </c>
      <c r="L134" s="337"/>
      <c r="M134" s="337">
        <v>0</v>
      </c>
      <c r="N134" s="337"/>
      <c r="O134" s="337">
        <v>0</v>
      </c>
      <c r="P134" s="337"/>
      <c r="Q134" s="337">
        <v>0</v>
      </c>
      <c r="R134" s="337"/>
      <c r="S134" s="337">
        <v>0</v>
      </c>
      <c r="T134" s="337"/>
      <c r="U134" s="337">
        <v>0</v>
      </c>
      <c r="V134" s="337"/>
      <c r="W134" s="337">
        <v>0</v>
      </c>
      <c r="X134" s="337"/>
      <c r="Y134" s="337">
        <v>0</v>
      </c>
      <c r="AA134" s="336"/>
      <c r="AC134" s="237" t="str">
        <f t="shared" si="5"/>
        <v>Railway Transport/Traffic/Hauled vehicle movements in other trains/Gross-Tonne-km (millions) [IV-14]/Total,A-IV-03-03-30_3-0_0,0,,</v>
      </c>
      <c r="AD134" s="239"/>
    </row>
    <row r="135" spans="1:30">
      <c r="A135" s="331" t="s">
        <v>1370</v>
      </c>
      <c r="B135" s="332" t="s">
        <v>1017</v>
      </c>
      <c r="C135" s="334"/>
      <c r="D135" s="332"/>
      <c r="E135" s="335">
        <f>ROUND('Tabell 4.11–4.13'!Y14*1000,0)</f>
        <v>179343</v>
      </c>
      <c r="F135" s="335"/>
      <c r="G135" s="335">
        <f>ROUND('Tabell 4.11–4.13'!AA14*1000,0)</f>
        <v>187055</v>
      </c>
      <c r="H135" s="335"/>
      <c r="I135" s="335">
        <f>ROUND('Tabell 4.11–4.13'!AC14*1000,0)</f>
        <v>193163</v>
      </c>
      <c r="J135" s="335"/>
      <c r="K135" s="335">
        <f>ROUND('Tabell 4.11–4.13'!AE14*1000,0)</f>
        <v>200706</v>
      </c>
      <c r="L135" s="335"/>
      <c r="M135" s="335">
        <f>ROUND('Tabell 4.11–4.13'!AG14*1000,0)</f>
        <v>207280</v>
      </c>
      <c r="N135" s="335"/>
      <c r="O135" s="335">
        <f>ROUND('Tabell 4.11–4.13'!AI14*1000,0)</f>
        <v>214434</v>
      </c>
      <c r="P135" s="335"/>
      <c r="Q135" s="335">
        <f>ROUND('Tabell 4.11–4.13'!AK14*1000,0)</f>
        <v>220945</v>
      </c>
      <c r="R135" s="335"/>
      <c r="S135" s="335">
        <f>ROUND('Tabell 4.11–4.13'!AM14*1000,0)</f>
        <v>229816</v>
      </c>
      <c r="T135" s="335"/>
      <c r="U135" s="335">
        <f>ROUND('Tabell 4.11–4.13'!AO14*1000,0)</f>
        <v>246490</v>
      </c>
      <c r="V135" s="335"/>
      <c r="W135" s="335">
        <f>ROUND('Tabell 4.11–4.13'!AQ14*1000,0)</f>
        <v>264603</v>
      </c>
      <c r="X135" s="335"/>
      <c r="Y135" s="335">
        <f>ROUND('Tabell 4.11–4.13'!AS14*1000,0)</f>
        <v>169163</v>
      </c>
      <c r="AA135" s="336"/>
      <c r="AC135" s="237" t="str">
        <f t="shared" si="5"/>
        <v>Railway Transport/Transport Measurement/Passenger transport/Number of passengers (1000)/Total,A-V-01-12-0_0-0_0,169163,,</v>
      </c>
      <c r="AD135" s="239"/>
    </row>
    <row r="136" spans="1:30">
      <c r="A136" s="331" t="s">
        <v>1371</v>
      </c>
      <c r="B136" s="332" t="s">
        <v>1018</v>
      </c>
      <c r="C136" s="334"/>
      <c r="D136" s="332"/>
      <c r="E136" s="335">
        <f>ROUND(('Tabell 4.11–4.13'!Y14-'Tabell 4.11–4.13'!Y19)*1000,0)</f>
        <v>168390</v>
      </c>
      <c r="F136" s="335"/>
      <c r="G136" s="335">
        <f>ROUND(('Tabell 4.11–4.13'!AA14-'Tabell 4.11–4.13'!AA19)*1000,0)</f>
        <v>175781</v>
      </c>
      <c r="H136" s="335"/>
      <c r="I136" s="335">
        <f>ROUND(('Tabell 4.11–4.13'!AC14-'Tabell 4.11–4.13'!AC19)*1000,0)</f>
        <v>181395</v>
      </c>
      <c r="J136" s="335"/>
      <c r="K136" s="335">
        <f>ROUND(('Tabell 4.11–4.13'!AE14-'Tabell 4.11–4.13'!AE19)*1000,0)</f>
        <v>188450</v>
      </c>
      <c r="L136" s="335"/>
      <c r="M136" s="335">
        <f>ROUND(('Tabell 4.11–4.13'!AG14-'Tabell 4.11–4.13'!AG19)*1000,0)</f>
        <v>195022</v>
      </c>
      <c r="N136" s="335"/>
      <c r="O136" s="335">
        <f>ROUND(('Tabell 4.11–4.13'!AI14-'Tabell 4.11–4.13'!AI19)*1000,0)</f>
        <v>201745</v>
      </c>
      <c r="P136" s="335"/>
      <c r="Q136" s="335">
        <f>ROUND(('Tabell 4.11–4.13'!AK14-'Tabell 4.11–4.13'!AK19)*1000,0)</f>
        <v>208944</v>
      </c>
      <c r="R136" s="335"/>
      <c r="S136" s="335">
        <f>ROUND(('Tabell 4.11–4.13'!AM14-'Tabell 4.11–4.13'!AM19)*1000,0)</f>
        <v>217668</v>
      </c>
      <c r="T136" s="335"/>
      <c r="U136" s="335">
        <f>ROUND(('Tabell 4.11–4.13'!AO14-'Tabell 4.11–4.13'!AO19)*1000,0)</f>
        <v>235330</v>
      </c>
      <c r="V136" s="335"/>
      <c r="W136" s="335">
        <f>ROUND(('Tabell 4.11–4.13'!AQ14-'Tabell 4.11–4.13'!AQ19)*1000,0)</f>
        <v>252131</v>
      </c>
      <c r="X136" s="335"/>
      <c r="Y136" s="335">
        <f>ROUND(('Tabell 4.11–4.13'!AS14-'Tabell 4.11–4.13'!AS19)*1000,0)</f>
        <v>164381</v>
      </c>
      <c r="AA136" s="336"/>
      <c r="AC136" s="237" t="str">
        <f t="shared" si="5"/>
        <v>Railway Transport/Transport Measurement/Passenger transport/Number of passengers (1000)/By type of transport/National transport,A-V-01-12-24_1-0_0,164381,,</v>
      </c>
      <c r="AD136" s="239"/>
    </row>
    <row r="137" spans="1:30">
      <c r="A137" s="331" t="s">
        <v>1372</v>
      </c>
      <c r="B137" s="332" t="s">
        <v>1019</v>
      </c>
      <c r="C137" s="334"/>
      <c r="D137" s="332"/>
      <c r="E137" s="335">
        <f>ROUND('Tabell 4.11–4.13'!Y19*1000,0)</f>
        <v>10953</v>
      </c>
      <c r="F137" s="335"/>
      <c r="G137" s="335">
        <f>ROUND('Tabell 4.11–4.13'!AA19*1000,0)</f>
        <v>11274</v>
      </c>
      <c r="H137" s="335"/>
      <c r="I137" s="335">
        <f>ROUND('Tabell 4.11–4.13'!AC19*1000,0)</f>
        <v>11768</v>
      </c>
      <c r="J137" s="335"/>
      <c r="K137" s="335">
        <f>ROUND('Tabell 4.11–4.13'!AE19*1000,0)</f>
        <v>12256</v>
      </c>
      <c r="L137" s="335"/>
      <c r="M137" s="335">
        <f>ROUND('Tabell 4.11–4.13'!AG19*1000,0)</f>
        <v>12258</v>
      </c>
      <c r="N137" s="335"/>
      <c r="O137" s="335">
        <f>ROUND('Tabell 4.11–4.13'!AI19*1000,0)</f>
        <v>12689</v>
      </c>
      <c r="P137" s="335"/>
      <c r="Q137" s="335">
        <f>ROUND('Tabell 4.11–4.13'!AK19*1000,0)</f>
        <v>12001</v>
      </c>
      <c r="R137" s="335"/>
      <c r="S137" s="335">
        <f>ROUND('Tabell 4.11–4.13'!AM19*1000,0)</f>
        <v>12148</v>
      </c>
      <c r="T137" s="335"/>
      <c r="U137" s="335">
        <f>ROUND('Tabell 4.11–4.13'!AO19*1000,0)</f>
        <v>11160</v>
      </c>
      <c r="V137" s="335"/>
      <c r="W137" s="335">
        <f>ROUND('Tabell 4.11–4.13'!AQ19*1000,0)</f>
        <v>12472</v>
      </c>
      <c r="X137" s="335"/>
      <c r="Y137" s="335">
        <f>ROUND('Tabell 4.11–4.13'!AS19*1000,0)</f>
        <v>4782</v>
      </c>
      <c r="AA137" s="336"/>
      <c r="AC137" s="237" t="str">
        <f t="shared" si="5"/>
        <v>Railway Transport/Transport Measurement/Passenger transport/Number of passengers (1000)/By type of transport/International transport,A-V-01-12-24_2-0_0,4782,,</v>
      </c>
      <c r="AD137" s="239"/>
    </row>
    <row r="138" spans="1:30">
      <c r="A138" s="331" t="s">
        <v>1373</v>
      </c>
      <c r="B138" s="332" t="s">
        <v>1020</v>
      </c>
      <c r="C138" s="334" t="s">
        <v>884</v>
      </c>
      <c r="D138" s="332"/>
      <c r="E138" s="335">
        <f>ROUND('Tabell 4.11–4.13'!Y18*1000,0)</f>
        <v>8064</v>
      </c>
      <c r="F138" s="335"/>
      <c r="G138" s="335">
        <f>ROUND('Tabell 4.11–4.13'!AA18*1000,0)</f>
        <v>7790</v>
      </c>
      <c r="H138" s="335"/>
      <c r="I138" s="335">
        <f>ROUND('Tabell 4.11–4.13'!AC18*1000,0)</f>
        <v>8040</v>
      </c>
      <c r="J138" s="335"/>
      <c r="K138" s="335">
        <f>ROUND('Tabell 4.11–4.13'!AE18*1000,0)</f>
        <v>8310</v>
      </c>
      <c r="L138" s="335"/>
      <c r="M138" s="335">
        <f>ROUND('Tabell 4.11–4.13'!AG18*1000,0)</f>
        <v>8790</v>
      </c>
      <c r="N138" s="335"/>
      <c r="O138" s="337"/>
      <c r="P138" s="335"/>
      <c r="Q138" s="337"/>
      <c r="R138" s="335"/>
      <c r="S138" s="337"/>
      <c r="T138" s="335"/>
      <c r="U138" s="337"/>
      <c r="V138" s="335"/>
      <c r="W138" s="337"/>
      <c r="X138" s="335"/>
      <c r="Y138" s="337"/>
      <c r="AA138" s="336"/>
      <c r="AC138" s="237" t="str">
        <f t="shared" si="5"/>
        <v>Railway Transport/Transport Measurement/Passenger transport/Number of passengers (1000)/By type of train/High speed trains,A-V-01-12-83_1-0_0,,:,</v>
      </c>
      <c r="AD138" s="239"/>
    </row>
    <row r="139" spans="1:30">
      <c r="A139" s="331" t="s">
        <v>1374</v>
      </c>
      <c r="B139" s="332" t="s">
        <v>1021</v>
      </c>
      <c r="C139" s="334" t="s">
        <v>884</v>
      </c>
      <c r="D139" s="332"/>
      <c r="E139" s="337"/>
      <c r="F139" s="337"/>
      <c r="G139" s="337"/>
      <c r="H139" s="337"/>
      <c r="I139" s="337"/>
      <c r="J139" s="337"/>
      <c r="K139" s="337"/>
      <c r="L139" s="337"/>
      <c r="M139" s="337"/>
      <c r="N139" s="337"/>
      <c r="O139" s="337"/>
      <c r="P139" s="337"/>
      <c r="Q139" s="337"/>
      <c r="R139" s="337"/>
      <c r="S139" s="337"/>
      <c r="T139" s="337"/>
      <c r="U139" s="337"/>
      <c r="V139" s="337"/>
      <c r="W139" s="337"/>
      <c r="X139" s="337"/>
      <c r="Y139" s="337"/>
      <c r="AA139" s="336"/>
      <c r="AC139" s="237" t="str">
        <f t="shared" si="5"/>
        <v>Railway Transport/Transport Measurement/Passenger transport/Number of passengers (1000)/By type of train/High speed tilting trains,A-V-01-12-83_2-0_0,,:,</v>
      </c>
      <c r="AD139" s="239"/>
    </row>
    <row r="140" spans="1:30">
      <c r="A140" s="331" t="s">
        <v>1375</v>
      </c>
      <c r="B140" s="332" t="s">
        <v>1022</v>
      </c>
      <c r="C140" s="334" t="s">
        <v>884</v>
      </c>
      <c r="D140" s="332"/>
      <c r="E140" s="335">
        <f>ROUND(('Tabell 4.11–4.13'!Y14-'Tabell 4.11–4.13'!Y18)*1000,0)</f>
        <v>171279</v>
      </c>
      <c r="F140" s="335"/>
      <c r="G140" s="335">
        <f>ROUND(('Tabell 4.11–4.13'!AA14-'Tabell 4.11–4.13'!AA18)*1000,0)</f>
        <v>179265</v>
      </c>
      <c r="H140" s="335"/>
      <c r="I140" s="335">
        <f>ROUND(('Tabell 4.11–4.13'!AC14-'Tabell 4.11–4.13'!AC18)*1000,0)</f>
        <v>185123</v>
      </c>
      <c r="J140" s="335"/>
      <c r="K140" s="335">
        <f>ROUND(('Tabell 4.11–4.13'!AE14-'Tabell 4.11–4.13'!AE18)*1000,0)</f>
        <v>192396</v>
      </c>
      <c r="L140" s="335"/>
      <c r="M140" s="335">
        <f>ROUND(('Tabell 4.11–4.13'!AG14-'Tabell 4.11–4.13'!AG18)*1000,0)</f>
        <v>198490</v>
      </c>
      <c r="N140" s="335"/>
      <c r="O140" s="337"/>
      <c r="P140" s="335"/>
      <c r="Q140" s="337"/>
      <c r="R140" s="335"/>
      <c r="S140" s="337"/>
      <c r="T140" s="335"/>
      <c r="U140" s="337"/>
      <c r="V140" s="335"/>
      <c r="W140" s="337"/>
      <c r="X140" s="335"/>
      <c r="Y140" s="337"/>
      <c r="AA140" s="336"/>
      <c r="AC140" s="237" t="str">
        <f t="shared" si="5"/>
        <v>Railway Transport/Transport Measurement/Passenger transport/Number of passengers (1000)/By type of train/Conventional trains,A-V-01-12-83_3-0_0,,:,</v>
      </c>
      <c r="AD140" s="239"/>
    </row>
    <row r="141" spans="1:30">
      <c r="A141" s="331" t="s">
        <v>1376</v>
      </c>
      <c r="B141" s="332" t="s">
        <v>1023</v>
      </c>
      <c r="C141" s="334"/>
      <c r="D141" s="332"/>
      <c r="E141" s="335">
        <f>ROUND('Tabell 4.11–4.13'!Y33,0)</f>
        <v>11155</v>
      </c>
      <c r="F141" s="335"/>
      <c r="G141" s="335">
        <f>ROUND('Tabell 4.11–4.13'!AA33,0)</f>
        <v>11378</v>
      </c>
      <c r="H141" s="335"/>
      <c r="I141" s="335">
        <f>ROUND('Tabell 4.11–4.13'!AC33,0)</f>
        <v>11792</v>
      </c>
      <c r="J141" s="335"/>
      <c r="K141" s="335">
        <f>ROUND('Tabell 4.11–4.13'!AE33,0)</f>
        <v>11842</v>
      </c>
      <c r="L141" s="335"/>
      <c r="M141" s="335">
        <f>ROUND('Tabell 4.11–4.13'!AG33,0)</f>
        <v>12121</v>
      </c>
      <c r="N141" s="335"/>
      <c r="O141" s="335">
        <f>ROUND('Tabell 4.11–4.13'!AI33,0)</f>
        <v>12650</v>
      </c>
      <c r="P141" s="335"/>
      <c r="Q141" s="335">
        <f>ROUND('Tabell 4.11–4.13'!AK33,0)</f>
        <v>12800</v>
      </c>
      <c r="R141" s="335"/>
      <c r="S141" s="335">
        <f>ROUND('Tabell 4.11–4.13'!AM33,0)</f>
        <v>13331</v>
      </c>
      <c r="T141" s="335"/>
      <c r="U141" s="335">
        <f>ROUND('Tabell 4.11–4.13'!AO33,0)</f>
        <v>13547</v>
      </c>
      <c r="V141" s="335"/>
      <c r="W141" s="335">
        <f>ROUND('Tabell 4.11–4.13'!AQ33,0)</f>
        <v>14617</v>
      </c>
      <c r="X141" s="335"/>
      <c r="Y141" s="335">
        <f>ROUND('Tabell 4.11–4.13'!AS33,0)</f>
        <v>8129</v>
      </c>
      <c r="AA141" s="336"/>
      <c r="AC141" s="237" t="str">
        <f t="shared" si="5"/>
        <v>Railway Transport/Transport Measurement/Passenger transport/Number of passenger-km [V-08] (Millions)/Total,A-V-01-11-0_0-0_0,8129,,</v>
      </c>
      <c r="AD141" s="239"/>
    </row>
    <row r="142" spans="1:30">
      <c r="A142" s="331" t="s">
        <v>1377</v>
      </c>
      <c r="B142" s="332" t="s">
        <v>1024</v>
      </c>
      <c r="C142" s="334"/>
      <c r="D142" s="332"/>
      <c r="E142" s="335">
        <f>ROUND('Tabell 4.11–4.13'!Y33-'Tabell 4.11–4.13'!Y38,0)</f>
        <v>10617</v>
      </c>
      <c r="F142" s="335"/>
      <c r="G142" s="335">
        <f>ROUND('Tabell 4.11–4.13'!AA33-'Tabell 4.11–4.13'!AA38,0)</f>
        <v>10828</v>
      </c>
      <c r="H142" s="335"/>
      <c r="I142" s="335">
        <f>ROUND('Tabell 4.11–4.13'!AC33-'Tabell 4.11–4.13'!AC38,0)</f>
        <v>11330</v>
      </c>
      <c r="J142" s="335"/>
      <c r="K142" s="335">
        <f>ROUND('Tabell 4.11–4.13'!AE33-'Tabell 4.11–4.13'!AE38,0)</f>
        <v>11359</v>
      </c>
      <c r="L142" s="335"/>
      <c r="M142" s="335">
        <f>ROUND('Tabell 4.11–4.13'!AG33-'Tabell 4.11–4.13'!AG38,0)</f>
        <v>11629</v>
      </c>
      <c r="N142" s="335"/>
      <c r="O142" s="335">
        <f>ROUND('Tabell 4.11–4.13'!AI33-'Tabell 4.11–4.13'!AI38,0)</f>
        <v>12121</v>
      </c>
      <c r="P142" s="335"/>
      <c r="Q142" s="335">
        <f>ROUND('Tabell 4.11–4.13'!AK33-'Tabell 4.11–4.13'!AK38,0)</f>
        <v>12333</v>
      </c>
      <c r="R142" s="335"/>
      <c r="S142" s="335">
        <f>ROUND('Tabell 4.11–4.13'!AM33-'Tabell 4.11–4.13'!AM38,0)</f>
        <v>12739</v>
      </c>
      <c r="T142" s="335"/>
      <c r="U142" s="335">
        <f>ROUND('Tabell 4.11–4.13'!AO33-'Tabell 4.11–4.13'!AO38,0)</f>
        <v>13058</v>
      </c>
      <c r="V142" s="335"/>
      <c r="W142" s="335">
        <f>ROUND('Tabell 4.11–4.13'!AQ33-'Tabell 4.11–4.13'!AQ38,0)</f>
        <v>13998</v>
      </c>
      <c r="X142" s="335"/>
      <c r="Y142" s="335">
        <f>ROUND('Tabell 4.11–4.13'!AS33-'Tabell 4.11–4.13'!AS38,0)</f>
        <v>7973</v>
      </c>
      <c r="AA142" s="336"/>
      <c r="AC142" s="237" t="str">
        <f t="shared" si="5"/>
        <v>Railway Transport/Transport Measurement/Passenger transport/Number of passenger-km [V-08] (Millions)/By type of transport/National transport,A-V-01-11-24_1-0_0,7973,,</v>
      </c>
      <c r="AD142" s="239"/>
    </row>
    <row r="143" spans="1:30">
      <c r="A143" s="331" t="s">
        <v>1378</v>
      </c>
      <c r="B143" s="332" t="s">
        <v>1025</v>
      </c>
      <c r="C143" s="334"/>
      <c r="D143" s="332"/>
      <c r="E143" s="335">
        <f>ROUND('Tabell 4.11–4.13'!Y38,0)</f>
        <v>539</v>
      </c>
      <c r="F143" s="335"/>
      <c r="G143" s="335">
        <f>ROUND('Tabell 4.11–4.13'!AA38,0)</f>
        <v>551</v>
      </c>
      <c r="H143" s="335"/>
      <c r="I143" s="335">
        <f>ROUND('Tabell 4.11–4.13'!AC38,0)</f>
        <v>462</v>
      </c>
      <c r="J143" s="335"/>
      <c r="K143" s="335">
        <f>ROUND('Tabell 4.11–4.13'!AE38,0)</f>
        <v>483</v>
      </c>
      <c r="L143" s="335"/>
      <c r="M143" s="335">
        <f>ROUND('Tabell 4.11–4.13'!AG38,0)</f>
        <v>493</v>
      </c>
      <c r="N143" s="335"/>
      <c r="O143" s="335">
        <f>ROUND('Tabell 4.11–4.13'!AI38,0)</f>
        <v>529</v>
      </c>
      <c r="P143" s="335"/>
      <c r="Q143" s="335">
        <f>ROUND('Tabell 4.11–4.13'!AK38,0)</f>
        <v>467</v>
      </c>
      <c r="R143" s="335"/>
      <c r="S143" s="335">
        <f>ROUND('Tabell 4.11–4.13'!AM38,0)</f>
        <v>591</v>
      </c>
      <c r="T143" s="335"/>
      <c r="U143" s="335">
        <f>ROUND('Tabell 4.11–4.13'!AO38,0)</f>
        <v>489</v>
      </c>
      <c r="V143" s="335"/>
      <c r="W143" s="335">
        <f>ROUND('Tabell 4.11–4.13'!AQ38,0)</f>
        <v>619</v>
      </c>
      <c r="X143" s="335"/>
      <c r="Y143" s="335">
        <f>ROUND('Tabell 4.11–4.13'!AS38,0)</f>
        <v>156</v>
      </c>
      <c r="AA143" s="336"/>
      <c r="AC143" s="237" t="str">
        <f t="shared" si="5"/>
        <v>Railway Transport/Transport Measurement/Passenger transport/Number of passenger-km [V-08] (Millions)/By type of transport/International transport,A-V-01-11-24_2-0_0,156,,</v>
      </c>
      <c r="AD143" s="239"/>
    </row>
    <row r="144" spans="1:30">
      <c r="A144" s="331" t="s">
        <v>1379</v>
      </c>
      <c r="B144" s="332" t="s">
        <v>1026</v>
      </c>
      <c r="C144" s="334" t="s">
        <v>884</v>
      </c>
      <c r="D144" s="332"/>
      <c r="E144" s="335">
        <f>ROUND('Tabell 4.11–4.13'!Y37,0)</f>
        <v>2907</v>
      </c>
      <c r="F144" s="335"/>
      <c r="G144" s="335">
        <f>ROUND('Tabell 4.11–4.13'!AA37,0)</f>
        <v>2827</v>
      </c>
      <c r="H144" s="335"/>
      <c r="I144" s="335">
        <f>ROUND('Tabell 4.11–4.13'!AC37,0)</f>
        <v>2948</v>
      </c>
      <c r="J144" s="335"/>
      <c r="K144" s="335">
        <f>ROUND('Tabell 4.11–4.13'!AE37,0)</f>
        <v>3055</v>
      </c>
      <c r="L144" s="335"/>
      <c r="M144" s="335">
        <f>ROUND('Tabell 4.11–4.13'!AG37,0)</f>
        <v>3228</v>
      </c>
      <c r="N144" s="335"/>
      <c r="O144" s="337"/>
      <c r="P144" s="335"/>
      <c r="Q144" s="337"/>
      <c r="R144" s="335"/>
      <c r="S144" s="337"/>
      <c r="T144" s="335"/>
      <c r="U144" s="337"/>
      <c r="V144" s="335"/>
      <c r="W144" s="337"/>
      <c r="X144" s="335"/>
      <c r="Y144" s="337"/>
      <c r="AA144" s="336"/>
      <c r="AC144" s="237" t="str">
        <f t="shared" si="5"/>
        <v>Railway Transport/Transport Measurement/Passenger transport/Number of passenger-km [V-08] (Millions)/By type of train/High speed trains,A-V-01-11-83_1-0_0,,:,</v>
      </c>
      <c r="AD144" s="239"/>
    </row>
    <row r="145" spans="1:30">
      <c r="A145" s="331" t="s">
        <v>1380</v>
      </c>
      <c r="B145" s="332" t="s">
        <v>1027</v>
      </c>
      <c r="C145" s="334" t="s">
        <v>884</v>
      </c>
      <c r="D145" s="332"/>
      <c r="E145" s="337"/>
      <c r="F145" s="337"/>
      <c r="G145" s="337"/>
      <c r="H145" s="337"/>
      <c r="I145" s="337"/>
      <c r="J145" s="337"/>
      <c r="K145" s="337"/>
      <c r="L145" s="337"/>
      <c r="M145" s="337"/>
      <c r="N145" s="337"/>
      <c r="O145" s="337"/>
      <c r="P145" s="337"/>
      <c r="Q145" s="337"/>
      <c r="R145" s="337"/>
      <c r="S145" s="337"/>
      <c r="T145" s="337"/>
      <c r="U145" s="337"/>
      <c r="V145" s="337"/>
      <c r="W145" s="337"/>
      <c r="X145" s="337"/>
      <c r="Y145" s="337"/>
      <c r="AA145" s="336"/>
      <c r="AC145" s="237" t="str">
        <f t="shared" si="5"/>
        <v>Railway Transport/Transport Measurement/Passenger transport/Number of passenger-km [V-08] (Millions)/By type of train/High speed tilting trains,A-V-01-11-83_2-0_0,,:,</v>
      </c>
      <c r="AD145" s="239"/>
    </row>
    <row r="146" spans="1:30">
      <c r="A146" s="331" t="s">
        <v>1381</v>
      </c>
      <c r="B146" s="332" t="s">
        <v>1028</v>
      </c>
      <c r="C146" s="334" t="s">
        <v>884</v>
      </c>
      <c r="D146" s="332"/>
      <c r="E146" s="335">
        <f>ROUND('Tabell 4.11–4.13'!Y33-'Tabell 4.11–4.13'!Y37,0)</f>
        <v>8248</v>
      </c>
      <c r="F146" s="335"/>
      <c r="G146" s="335">
        <f>ROUND('Tabell 4.11–4.13'!AA33-'Tabell 4.11–4.13'!AA37,0)</f>
        <v>8551</v>
      </c>
      <c r="H146" s="335"/>
      <c r="I146" s="335">
        <f>ROUND('Tabell 4.11–4.13'!AC33-'Tabell 4.11–4.13'!AC37,0)</f>
        <v>8844</v>
      </c>
      <c r="J146" s="335"/>
      <c r="K146" s="335">
        <f>ROUND('Tabell 4.11–4.13'!AE33-'Tabell 4.11–4.13'!AE37,0)</f>
        <v>8787</v>
      </c>
      <c r="L146" s="335"/>
      <c r="M146" s="335">
        <f>ROUND('Tabell 4.11–4.13'!AG33-'Tabell 4.11–4.13'!AG37,0)</f>
        <v>8893</v>
      </c>
      <c r="N146" s="335"/>
      <c r="O146" s="337"/>
      <c r="P146" s="335"/>
      <c r="Q146" s="337"/>
      <c r="R146" s="335"/>
      <c r="S146" s="337"/>
      <c r="T146" s="335"/>
      <c r="U146" s="337"/>
      <c r="V146" s="335"/>
      <c r="W146" s="337"/>
      <c r="X146" s="335"/>
      <c r="Y146" s="337"/>
      <c r="AA146" s="336"/>
      <c r="AC146" s="237" t="str">
        <f t="shared" si="5"/>
        <v>Railway Transport/Transport Measurement/Passenger transport/Number of passenger-km [V-08] (Millions)/By type of train/Conventional trains,A-V-01-11-83_3-0_0,,:,</v>
      </c>
      <c r="AD146" s="239"/>
    </row>
    <row r="147" spans="1:30">
      <c r="A147" s="331" t="s">
        <v>1382</v>
      </c>
      <c r="B147" s="332" t="s">
        <v>1029</v>
      </c>
      <c r="C147" s="334"/>
      <c r="D147" s="332"/>
      <c r="E147" s="335">
        <f>ROUND('Tabell 4.7'!Y30,0)</f>
        <v>68329</v>
      </c>
      <c r="F147" s="335"/>
      <c r="G147" s="335">
        <f>ROUND('Tabell 4.7'!AA30,0)</f>
        <v>67907</v>
      </c>
      <c r="H147" s="335"/>
      <c r="I147" s="335">
        <f>ROUND('Tabell 4.7'!AC30,0)</f>
        <v>65789</v>
      </c>
      <c r="J147" s="335"/>
      <c r="K147" s="335">
        <f>ROUND('Tabell 4.7'!AE30,0)</f>
        <v>67047</v>
      </c>
      <c r="L147" s="335"/>
      <c r="M147" s="335">
        <f>ROUND('Tabell 4.7'!AG30,0)</f>
        <v>68035</v>
      </c>
      <c r="N147" s="335"/>
      <c r="O147" s="335">
        <f>ROUND('Tabell 4.7'!AI30,0)</f>
        <v>64999</v>
      </c>
      <c r="P147" s="335"/>
      <c r="Q147" s="335">
        <f>ROUND('Tabell 4.7'!AK30,0)</f>
        <v>67479</v>
      </c>
      <c r="R147" s="335"/>
      <c r="S147" s="335">
        <f>ROUND('Tabell 4.7'!AM30,0)</f>
        <v>69350</v>
      </c>
      <c r="T147" s="335"/>
      <c r="U147" s="335">
        <f>ROUND('Tabell 4.7'!AO30,0)</f>
        <v>69123</v>
      </c>
      <c r="V147" s="335"/>
      <c r="W147" s="335">
        <f>ROUND('Tabell 4.7'!AQ30,0)</f>
        <v>68220</v>
      </c>
      <c r="X147" s="335"/>
      <c r="Y147" s="335">
        <f>ROUND('Tabell 4.7'!AS30,0)</f>
        <v>69805</v>
      </c>
      <c r="AA147" s="336"/>
      <c r="AC147" s="237" t="str">
        <f t="shared" si="5"/>
        <v>Railway Transport/Transport Measurement/Goods transport ? by consignment and by type of transport/Tonnes (1000)/Total,A-V-05-17-0_0-0_0,69805,,</v>
      </c>
      <c r="AD147" s="239"/>
    </row>
    <row r="148" spans="1:30">
      <c r="A148" s="331" t="s">
        <v>1383</v>
      </c>
      <c r="B148" s="332" t="s">
        <v>1030</v>
      </c>
      <c r="C148" s="334"/>
      <c r="D148" s="332"/>
      <c r="E148" s="335">
        <f>ROUND('Tabell 4.7'!Y27+'Tabell 4.7'!Y31,0)</f>
        <v>45453</v>
      </c>
      <c r="F148" s="335"/>
      <c r="G148" s="335">
        <f>ROUND('Tabell 4.7'!AA27+'Tabell 4.7'!AA31,0)</f>
        <v>42593</v>
      </c>
      <c r="H148" s="335"/>
      <c r="I148" s="335">
        <f>ROUND('Tabell 4.7'!AC27+'Tabell 4.7'!AC31,0)</f>
        <v>41885</v>
      </c>
      <c r="J148" s="335"/>
      <c r="K148" s="335">
        <f>ROUND('Tabell 4.7'!AE27+'Tabell 4.7'!AE31,0)</f>
        <v>38082</v>
      </c>
      <c r="L148" s="335"/>
      <c r="M148" s="335">
        <f>ROUND('Tabell 4.7'!AG27+'Tabell 4.7'!AG31,0)</f>
        <v>37687</v>
      </c>
      <c r="N148" s="335"/>
      <c r="O148" s="335">
        <f>ROUND('Tabell 4.7'!AI27+'Tabell 4.7'!AI31,0)</f>
        <v>35929</v>
      </c>
      <c r="P148" s="335"/>
      <c r="Q148" s="335">
        <f>ROUND('Tabell 4.7'!AK27+'Tabell 4.7'!AK31,0)</f>
        <v>39060</v>
      </c>
      <c r="R148" s="335"/>
      <c r="S148" s="335">
        <f>ROUND('Tabell 4.7'!AM27+'Tabell 4.7'!AM31,0)</f>
        <v>40725</v>
      </c>
      <c r="T148" s="335"/>
      <c r="U148" s="335">
        <f>ROUND('Tabell 4.7'!AO27+'Tabell 4.7'!AO31,0)</f>
        <v>36502</v>
      </c>
      <c r="V148" s="335"/>
      <c r="W148" s="335">
        <f>ROUND('Tabell 4.7'!AQ27+'Tabell 4.7'!AQ31,0)</f>
        <v>35862</v>
      </c>
      <c r="X148" s="335"/>
      <c r="Y148" s="335">
        <f>ROUND('Tabell 4.7'!AS27+'Tabell 4.7'!AS31,0)</f>
        <v>37318</v>
      </c>
      <c r="AA148" s="336"/>
      <c r="AC148" s="237" t="str">
        <f t="shared" si="5"/>
        <v>Railway Transport/Transport Measurement/Goods transport ? by consignment and by type of transport/Tonnes (1000)/By type of consignment/Full train load,A-V-05-17-17_11-0_0,37318,,</v>
      </c>
      <c r="AD148" s="239"/>
    </row>
    <row r="149" spans="1:30">
      <c r="A149" s="331" t="s">
        <v>1384</v>
      </c>
      <c r="B149" s="332" t="s">
        <v>1031</v>
      </c>
      <c r="C149" s="334"/>
      <c r="D149" s="332"/>
      <c r="E149" s="335">
        <f>ROUND('Tabell 4.7'!Y30-'Tabell 4.7'!Y31-'Tabell 4.7'!Y27,0)</f>
        <v>22876</v>
      </c>
      <c r="F149" s="335"/>
      <c r="G149" s="335">
        <f>ROUND('Tabell 4.7'!AA30-'Tabell 4.7'!AA31-'Tabell 4.7'!AA27,0)</f>
        <v>25314</v>
      </c>
      <c r="H149" s="335"/>
      <c r="I149" s="335">
        <f>ROUND('Tabell 4.7'!AC30-'Tabell 4.7'!AC31-'Tabell 4.7'!AC27,0)</f>
        <v>23904</v>
      </c>
      <c r="J149" s="335"/>
      <c r="K149" s="335">
        <f>ROUND('Tabell 4.7'!AE30-'Tabell 4.7'!AE31-'Tabell 4.7'!AE27,0)</f>
        <v>28964</v>
      </c>
      <c r="L149" s="335"/>
      <c r="M149" s="335">
        <f>ROUND('Tabell 4.7'!AG30-'Tabell 4.7'!AG31-'Tabell 4.7'!AG27,0)</f>
        <v>30348</v>
      </c>
      <c r="N149" s="335"/>
      <c r="O149" s="335">
        <f>ROUND('Tabell 4.7'!AI30-'Tabell 4.7'!AI31-'Tabell 4.7'!AI27,0)</f>
        <v>29070</v>
      </c>
      <c r="P149" s="335"/>
      <c r="Q149" s="335">
        <f>ROUND('Tabell 4.7'!AK30-'Tabell 4.7'!AK31-'Tabell 4.7'!AK27,0)</f>
        <v>28419</v>
      </c>
      <c r="R149" s="335"/>
      <c r="S149" s="335">
        <f>ROUND('Tabell 4.7'!AM30-'Tabell 4.7'!AM31-'Tabell 4.7'!AM27,0)</f>
        <v>28625</v>
      </c>
      <c r="T149" s="335"/>
      <c r="U149" s="335">
        <f>ROUND('Tabell 4.7'!AO30-'Tabell 4.7'!AO31-'Tabell 4.7'!AO27,0)</f>
        <v>32621</v>
      </c>
      <c r="V149" s="335"/>
      <c r="W149" s="335">
        <f>ROUND('Tabell 4.7'!AQ30-'Tabell 4.7'!AQ31-'Tabell 4.7'!AQ27,0)</f>
        <v>32358</v>
      </c>
      <c r="X149" s="335"/>
      <c r="Y149" s="335">
        <f>ROUND('Tabell 4.7'!AS30-'Tabell 4.7'!AS31-'Tabell 4.7'!AS27,0)</f>
        <v>32487</v>
      </c>
      <c r="AA149" s="336"/>
      <c r="AC149" s="237" t="str">
        <f t="shared" si="5"/>
        <v>Railway Transport/Transport Measurement/Goods transport ? by consignment and by type of transport/Tonnes (1000)/By type of consignment/Full wagon load,A-V-05-17-17_12-0_0,32487,,</v>
      </c>
      <c r="AD149" s="239"/>
    </row>
    <row r="150" spans="1:30">
      <c r="A150" s="331" t="s">
        <v>1385</v>
      </c>
      <c r="B150" s="332" t="s">
        <v>1032</v>
      </c>
      <c r="C150" s="334"/>
      <c r="D150" s="332"/>
      <c r="E150" s="337">
        <v>0</v>
      </c>
      <c r="F150" s="337"/>
      <c r="G150" s="337">
        <v>0</v>
      </c>
      <c r="H150" s="337"/>
      <c r="I150" s="337">
        <v>0</v>
      </c>
      <c r="J150" s="337"/>
      <c r="K150" s="337">
        <v>0</v>
      </c>
      <c r="L150" s="337"/>
      <c r="M150" s="337">
        <v>0</v>
      </c>
      <c r="N150" s="337"/>
      <c r="O150" s="337">
        <v>0</v>
      </c>
      <c r="P150" s="337"/>
      <c r="Q150" s="337">
        <v>0</v>
      </c>
      <c r="R150" s="337"/>
      <c r="S150" s="337">
        <v>0</v>
      </c>
      <c r="T150" s="337"/>
      <c r="U150" s="337">
        <v>0</v>
      </c>
      <c r="V150" s="337"/>
      <c r="W150" s="337">
        <v>0</v>
      </c>
      <c r="X150" s="337"/>
      <c r="Y150" s="337">
        <v>0</v>
      </c>
      <c r="AA150" s="336"/>
      <c r="AC150" s="237" t="str">
        <f t="shared" si="5"/>
        <v>Railway Transport/Transport Measurement/Goods transport ? by consignment and by type of transport/Tonnes (1000)/By type of consignment/Smalls,A-V-05-17-17_20-0_0,0,,</v>
      </c>
      <c r="AD150" s="239"/>
    </row>
    <row r="151" spans="1:30">
      <c r="A151" s="331" t="s">
        <v>1386</v>
      </c>
      <c r="B151" s="332" t="s">
        <v>1033</v>
      </c>
      <c r="C151" s="334"/>
      <c r="D151" s="332"/>
      <c r="E151" s="335">
        <f>ROUND('Tabell 4.7'!Y14,0)</f>
        <v>40399</v>
      </c>
      <c r="F151" s="335"/>
      <c r="G151" s="335">
        <f>ROUND('Tabell 4.7'!AA14,0)</f>
        <v>39394</v>
      </c>
      <c r="H151" s="335"/>
      <c r="I151" s="335">
        <f>ROUND('Tabell 4.7'!AC14,0)</f>
        <v>37113</v>
      </c>
      <c r="J151" s="335"/>
      <c r="K151" s="335">
        <f>ROUND('Tabell 4.7'!AE14,0)</f>
        <v>36514</v>
      </c>
      <c r="L151" s="335"/>
      <c r="M151" s="335">
        <f>ROUND('Tabell 4.7'!AG14,0)</f>
        <v>37331</v>
      </c>
      <c r="N151" s="335"/>
      <c r="O151" s="335">
        <f>ROUND('Tabell 4.7'!AI14,0)</f>
        <v>36303</v>
      </c>
      <c r="P151" s="335"/>
      <c r="Q151" s="335">
        <f>ROUND('Tabell 4.7'!AK14,0)</f>
        <v>36329</v>
      </c>
      <c r="R151" s="335"/>
      <c r="S151" s="335">
        <f>ROUND('Tabell 4.7'!AM14,0)</f>
        <v>37631</v>
      </c>
      <c r="T151" s="335"/>
      <c r="U151" s="335">
        <f>ROUND('Tabell 4.7'!AO14,0)</f>
        <v>36008</v>
      </c>
      <c r="V151" s="335"/>
      <c r="W151" s="335">
        <f>ROUND('Tabell 4.7'!AQ14,0)</f>
        <v>35362</v>
      </c>
      <c r="X151" s="335"/>
      <c r="Y151" s="335">
        <f>ROUND('Tabell 4.7'!AS14,0)</f>
        <v>36236</v>
      </c>
      <c r="AA151" s="336"/>
      <c r="AC151" s="237" t="str">
        <f t="shared" si="5"/>
        <v>Railway Transport/Transport Measurement/Goods transport ? by consignment and by type of transport/Tonnes (1000)/By type of transport/National transport,A-V-05-17-32_10-0_0,36236,,</v>
      </c>
      <c r="AD151" s="239"/>
    </row>
    <row r="152" spans="1:30">
      <c r="A152" s="331" t="s">
        <v>1387</v>
      </c>
      <c r="B152" s="332" t="s">
        <v>1034</v>
      </c>
      <c r="C152" s="334"/>
      <c r="D152" s="332"/>
      <c r="E152" s="342">
        <f>ROUND(22342.67261,0)</f>
        <v>22343</v>
      </c>
      <c r="F152" s="343"/>
      <c r="G152" s="342">
        <f>ROUND(22695.88569,0)</f>
        <v>22696</v>
      </c>
      <c r="H152" s="343"/>
      <c r="I152" s="342">
        <f>ROUND(23013.7654,0)</f>
        <v>23014</v>
      </c>
      <c r="J152" s="343"/>
      <c r="K152" s="342">
        <f>ROUND(24592.7165489894,0)</f>
        <v>24593</v>
      </c>
      <c r="L152" s="343"/>
      <c r="M152" s="342">
        <f>ROUND(24996.067601,0)</f>
        <v>24996</v>
      </c>
      <c r="N152" s="343"/>
      <c r="O152" s="342">
        <f>ROUND(22893.5831116699,0)</f>
        <v>22894</v>
      </c>
      <c r="P152" s="343"/>
      <c r="Q152" s="342">
        <f>ROUND(25139786/1000,0)</f>
        <v>25140</v>
      </c>
      <c r="R152" s="343"/>
      <c r="S152" s="342"/>
      <c r="T152" s="343"/>
      <c r="U152" s="342"/>
      <c r="V152" s="343"/>
      <c r="W152" s="342"/>
      <c r="X152" s="335"/>
      <c r="Y152" s="342"/>
      <c r="AA152" s="336" t="s">
        <v>1035</v>
      </c>
      <c r="AC152" s="237" t="str">
        <f t="shared" si="5"/>
        <v>Railway Transport/Transport Measurement/Goods transport ? by consignment and by type of transport/Tonnes (1000)/By type of transport/International transport - loaded,A-V-05-17-32_21-0_0,,,</v>
      </c>
      <c r="AD152" s="239"/>
    </row>
    <row r="153" spans="1:30">
      <c r="A153" s="331" t="s">
        <v>1388</v>
      </c>
      <c r="B153" s="332" t="s">
        <v>1036</v>
      </c>
      <c r="C153" s="334"/>
      <c r="D153" s="332"/>
      <c r="E153" s="342">
        <f>ROUND(4656.828182,0)</f>
        <v>4657</v>
      </c>
      <c r="F153" s="343"/>
      <c r="G153" s="342">
        <f>ROUND(5152.270191,0)</f>
        <v>5152</v>
      </c>
      <c r="H153" s="343"/>
      <c r="I153" s="342">
        <f>ROUND(4930.317277,0)</f>
        <v>4930</v>
      </c>
      <c r="J153" s="343"/>
      <c r="K153" s="342">
        <f>ROUND(5407.30054795523,0)</f>
        <v>5407</v>
      </c>
      <c r="L153" s="343"/>
      <c r="M153" s="342">
        <f>ROUND(5178.115264,0)</f>
        <v>5178</v>
      </c>
      <c r="N153" s="343"/>
      <c r="O153" s="342">
        <f>ROUND(5221.95772864886,0)</f>
        <v>5222</v>
      </c>
      <c r="P153" s="343"/>
      <c r="Q153" s="342">
        <f>ROUND(5444655/1000,0)</f>
        <v>5445</v>
      </c>
      <c r="R153" s="343"/>
      <c r="S153" s="342"/>
      <c r="T153" s="343"/>
      <c r="U153" s="342"/>
      <c r="V153" s="343"/>
      <c r="W153" s="342"/>
      <c r="X153" s="335"/>
      <c r="Y153" s="342"/>
      <c r="AA153" s="336" t="s">
        <v>1035</v>
      </c>
      <c r="AC153" s="237" t="str">
        <f t="shared" si="5"/>
        <v>Railway Transport/Transport Measurement/Goods transport ? by consignment and by type of transport/Tonnes (1000)/By type of transport/International transport - unloaded,A-V-05-17-32_22-0_0,,,</v>
      </c>
      <c r="AD153" s="239"/>
    </row>
    <row r="154" spans="1:30">
      <c r="A154" s="331" t="s">
        <v>1389</v>
      </c>
      <c r="B154" s="332" t="s">
        <v>1037</v>
      </c>
      <c r="C154" s="334"/>
      <c r="D154" s="332"/>
      <c r="E154" s="342">
        <f>ROUND(929.704608,0)</f>
        <v>930</v>
      </c>
      <c r="F154" s="343"/>
      <c r="G154" s="342">
        <f>ROUND(664.2887884,0)</f>
        <v>664</v>
      </c>
      <c r="H154" s="343"/>
      <c r="I154" s="342">
        <f>ROUND(731.565297,0)</f>
        <v>732</v>
      </c>
      <c r="J154" s="343"/>
      <c r="K154" s="342">
        <f>ROUND(532.6787104,0)</f>
        <v>533</v>
      </c>
      <c r="L154" s="343"/>
      <c r="M154" s="342">
        <f>ROUND(529.413744,0)</f>
        <v>529</v>
      </c>
      <c r="N154" s="343"/>
      <c r="O154" s="342">
        <f>ROUND(580.371936,0)</f>
        <v>580</v>
      </c>
      <c r="P154" s="343"/>
      <c r="Q154" s="342">
        <f>ROUND(565603/1000,0)</f>
        <v>566</v>
      </c>
      <c r="R154" s="343"/>
      <c r="S154" s="342"/>
      <c r="T154" s="343"/>
      <c r="U154" s="342"/>
      <c r="V154" s="343"/>
      <c r="W154" s="342"/>
      <c r="X154" s="335"/>
      <c r="Y154" s="342"/>
      <c r="Z154" s="239"/>
      <c r="AA154" s="336" t="s">
        <v>1035</v>
      </c>
      <c r="AC154" s="237" t="str">
        <f t="shared" si="5"/>
        <v>Railway Transport/Transport Measurement/Goods transport ? by consignment and by type of transport/Tonnes (1000)/By type of transport/Transit by rail throughout,A-V-05-17-32_31-0_0,,,</v>
      </c>
      <c r="AD154" s="239"/>
    </row>
    <row r="155" spans="1:30">
      <c r="A155" s="331" t="s">
        <v>1390</v>
      </c>
      <c r="B155" s="332" t="s">
        <v>1038</v>
      </c>
      <c r="C155" s="334"/>
      <c r="D155" s="332"/>
      <c r="E155" s="335">
        <f>ROUND('Tabell 4.7'!Y61,0)</f>
        <v>23464</v>
      </c>
      <c r="F155" s="335"/>
      <c r="G155" s="335">
        <f>ROUND('Tabell 4.7'!AA61,0)</f>
        <v>22864</v>
      </c>
      <c r="H155" s="335"/>
      <c r="I155" s="335">
        <f>ROUND('Tabell 4.7'!AC61,0)</f>
        <v>22043</v>
      </c>
      <c r="J155" s="335"/>
      <c r="K155" s="335">
        <f>ROUND('Tabell 4.7'!AE61,0)</f>
        <v>20970</v>
      </c>
      <c r="L155" s="335"/>
      <c r="M155" s="335">
        <f>ROUND('Tabell 4.7'!AG61,0)</f>
        <v>21296</v>
      </c>
      <c r="N155" s="335"/>
      <c r="O155" s="335">
        <f>ROUND('Tabell 4.7'!AI61,0)</f>
        <v>20699</v>
      </c>
      <c r="P155" s="335"/>
      <c r="Q155" s="335">
        <f>ROUND('Tabell 4.7'!AK61,0)</f>
        <v>21406</v>
      </c>
      <c r="R155" s="335"/>
      <c r="S155" s="335">
        <f>ROUND('Tabell 4.7'!AM61,0)</f>
        <v>21838</v>
      </c>
      <c r="T155" s="335"/>
      <c r="U155" s="335">
        <f>ROUND('Tabell 4.7'!AO61,0)</f>
        <v>22794</v>
      </c>
      <c r="V155" s="335"/>
      <c r="W155" s="335">
        <f>ROUND('Tabell 4.7'!AQ61,0)</f>
        <v>22222</v>
      </c>
      <c r="X155" s="335"/>
      <c r="Y155" s="335">
        <f>ROUND('Tabell 4.7'!AS61,0)</f>
        <v>22094</v>
      </c>
      <c r="AA155" s="336"/>
      <c r="AC155" s="237" t="str">
        <f t="shared" si="5"/>
        <v>Railway Transport/Transport Measurement/Goods transport ? by consignment and by type of transport/Tonnes-km (Millions) [V-19]/Total,A-V-05-18-0_0-0_0,22094,,</v>
      </c>
      <c r="AD155" s="239"/>
    </row>
    <row r="156" spans="1:30">
      <c r="A156" s="331" t="s">
        <v>1391</v>
      </c>
      <c r="B156" s="332" t="s">
        <v>1039</v>
      </c>
      <c r="C156" s="334"/>
      <c r="D156" s="332"/>
      <c r="E156" s="335">
        <f>ROUND('Tabell 4.7'!Y62+'Tabell 4.7'!Y58,0)</f>
        <v>11296</v>
      </c>
      <c r="F156" s="335"/>
      <c r="G156" s="335">
        <f>ROUND('Tabell 4.7'!AA62+'Tabell 4.7'!AA58,0)</f>
        <v>10245</v>
      </c>
      <c r="H156" s="335"/>
      <c r="I156" s="335">
        <f>ROUND('Tabell 4.7'!AC62+'Tabell 4.7'!AC58,0)</f>
        <v>9917</v>
      </c>
      <c r="J156" s="335"/>
      <c r="K156" s="335">
        <f>ROUND('Tabell 4.7'!AE62+'Tabell 4.7'!AE58,0)</f>
        <v>9098</v>
      </c>
      <c r="L156" s="335"/>
      <c r="M156" s="335">
        <f>ROUND('Tabell 4.7'!AG62+'Tabell 4.7'!AG58,0)</f>
        <v>8715</v>
      </c>
      <c r="N156" s="335"/>
      <c r="O156" s="335">
        <f>ROUND('Tabell 4.7'!AI62+'Tabell 4.7'!AI58,0)</f>
        <v>8054</v>
      </c>
      <c r="P156" s="335"/>
      <c r="Q156" s="335">
        <f>ROUND('Tabell 4.7'!AK62+'Tabell 4.7'!AK58,0)</f>
        <v>8914</v>
      </c>
      <c r="R156" s="335"/>
      <c r="S156" s="335">
        <f>ROUND('Tabell 4.7'!AM62+'Tabell 4.7'!AM58,0)</f>
        <v>9572</v>
      </c>
      <c r="T156" s="335"/>
      <c r="U156" s="335">
        <f>ROUND('Tabell 4.7'!AO62+'Tabell 4.7'!AO58,0)</f>
        <v>8772</v>
      </c>
      <c r="V156" s="335"/>
      <c r="W156" s="335">
        <f>ROUND('Tabell 4.7'!AQ62+'Tabell 4.7'!AQ58,0)</f>
        <v>8519</v>
      </c>
      <c r="X156" s="335"/>
      <c r="Y156" s="335">
        <f>ROUND('Tabell 4.7'!AS62+'Tabell 4.7'!AS58,0)</f>
        <v>8520</v>
      </c>
      <c r="AA156" s="336"/>
      <c r="AC156" s="237" t="str">
        <f t="shared" si="5"/>
        <v>Railway Transport/Transport Measurement/Goods transport ? by consignment and by type of transport/Tonnes-km (Millions) [V-19]/By type of consignment/Full train load,A-V-05-18-17_11-0_0,8520,,</v>
      </c>
      <c r="AD156" s="239"/>
    </row>
    <row r="157" spans="1:30">
      <c r="A157" s="331" t="s">
        <v>1392</v>
      </c>
      <c r="B157" s="332" t="s">
        <v>1040</v>
      </c>
      <c r="C157" s="334"/>
      <c r="D157" s="332"/>
      <c r="E157" s="335">
        <f>ROUND('Tabell 4.7'!Y61-'Tabell 4.7'!Y62-'Tabell 4.7'!Y58,0)</f>
        <v>12168</v>
      </c>
      <c r="F157" s="335"/>
      <c r="G157" s="335">
        <f>ROUND('Tabell 4.7'!AA61-'Tabell 4.7'!AA62-'Tabell 4.7'!AA58,0)</f>
        <v>12619</v>
      </c>
      <c r="H157" s="335"/>
      <c r="I157" s="335">
        <f>ROUND('Tabell 4.7'!AC61-'Tabell 4.7'!AC62-'Tabell 4.7'!AC58,0)</f>
        <v>12125</v>
      </c>
      <c r="J157" s="335"/>
      <c r="K157" s="335">
        <f>ROUND('Tabell 4.7'!AE61-'Tabell 4.7'!AE62-'Tabell 4.7'!AE58,0)</f>
        <v>11872</v>
      </c>
      <c r="L157" s="335"/>
      <c r="M157" s="335">
        <f>ROUND('Tabell 4.7'!AG61-'Tabell 4.7'!AG62-'Tabell 4.7'!AG58,0)</f>
        <v>12581</v>
      </c>
      <c r="N157" s="335"/>
      <c r="O157" s="335">
        <f>ROUND('Tabell 4.7'!AI61-'Tabell 4.7'!AI62-'Tabell 4.7'!AI58,0)</f>
        <v>12645</v>
      </c>
      <c r="P157" s="335"/>
      <c r="Q157" s="335">
        <f>ROUND('Tabell 4.7'!AK61-'Tabell 4.7'!AK62-'Tabell 4.7'!AK58,0)</f>
        <v>12492</v>
      </c>
      <c r="R157" s="335"/>
      <c r="S157" s="335">
        <f>ROUND('Tabell 4.7'!AM61-'Tabell 4.7'!AM62-'Tabell 4.7'!AM58,0)</f>
        <v>12267</v>
      </c>
      <c r="T157" s="335"/>
      <c r="U157" s="335">
        <f>ROUND('Tabell 4.7'!AO61-'Tabell 4.7'!AO62-'Tabell 4.7'!AO58,0)</f>
        <v>14023</v>
      </c>
      <c r="V157" s="335"/>
      <c r="W157" s="335">
        <f>ROUND('Tabell 4.7'!AQ61-'Tabell 4.7'!AQ62-'Tabell 4.7'!AQ58,0)</f>
        <v>13703</v>
      </c>
      <c r="X157" s="335"/>
      <c r="Y157" s="335">
        <f>ROUND('Tabell 4.7'!AS61-'Tabell 4.7'!AS62-'Tabell 4.7'!AS58,0)</f>
        <v>13574</v>
      </c>
      <c r="AA157" s="336"/>
      <c r="AC157" s="237" t="str">
        <f t="shared" si="5"/>
        <v>Railway Transport/Transport Measurement/Goods transport ? by consignment and by type of transport/Tonnes-km (Millions) [V-19]/By type of consignment/Full wagon load,A-V-05-18-17_12-0_0,13574,,</v>
      </c>
      <c r="AD157" s="239"/>
    </row>
    <row r="158" spans="1:30">
      <c r="A158" s="331" t="s">
        <v>1393</v>
      </c>
      <c r="B158" s="332" t="s">
        <v>1041</v>
      </c>
      <c r="C158" s="334"/>
      <c r="D158" s="332"/>
      <c r="E158" s="337">
        <v>0</v>
      </c>
      <c r="F158" s="337"/>
      <c r="G158" s="337">
        <v>0</v>
      </c>
      <c r="H158" s="337"/>
      <c r="I158" s="337">
        <v>0</v>
      </c>
      <c r="J158" s="337"/>
      <c r="K158" s="337">
        <v>0</v>
      </c>
      <c r="L158" s="337"/>
      <c r="M158" s="337">
        <v>0</v>
      </c>
      <c r="N158" s="337"/>
      <c r="O158" s="337">
        <v>0</v>
      </c>
      <c r="P158" s="337"/>
      <c r="Q158" s="337">
        <v>0</v>
      </c>
      <c r="R158" s="337"/>
      <c r="S158" s="337">
        <v>0</v>
      </c>
      <c r="T158" s="337"/>
      <c r="U158" s="337">
        <v>0</v>
      </c>
      <c r="V158" s="337"/>
      <c r="W158" s="337">
        <v>0</v>
      </c>
      <c r="X158" s="337"/>
      <c r="Y158" s="337">
        <v>0</v>
      </c>
      <c r="AA158" s="336"/>
      <c r="AC158" s="237" t="str">
        <f t="shared" si="5"/>
        <v>Railway Transport/Transport Measurement/Goods transport ? by consignment and by type of transport/Tonnes-km (Millions) [V-19]/By type of consignment/Smalls,A-V-05-18-17_20-0_0,0,,</v>
      </c>
      <c r="AD158" s="239"/>
    </row>
    <row r="159" spans="1:30">
      <c r="A159" s="331" t="s">
        <v>1394</v>
      </c>
      <c r="B159" s="332" t="s">
        <v>1042</v>
      </c>
      <c r="C159" s="334"/>
      <c r="D159" s="332"/>
      <c r="E159" s="335">
        <f>ROUND('Tabell 4.7'!Y45,0)</f>
        <v>14828</v>
      </c>
      <c r="F159" s="335"/>
      <c r="G159" s="335">
        <f>ROUND('Tabell 4.7'!AA45,0)</f>
        <v>14449</v>
      </c>
      <c r="H159" s="335"/>
      <c r="I159" s="335">
        <f>ROUND('Tabell 4.7'!AC45,0)</f>
        <v>13922</v>
      </c>
      <c r="J159" s="335"/>
      <c r="K159" s="335">
        <f>ROUND('Tabell 4.7'!AE45,0)</f>
        <v>13129</v>
      </c>
      <c r="L159" s="335"/>
      <c r="M159" s="335">
        <f>ROUND('Tabell 4.7'!AG45,0)</f>
        <v>13456</v>
      </c>
      <c r="N159" s="335"/>
      <c r="O159" s="335">
        <f>ROUND('Tabell 4.7'!AI45,0)</f>
        <v>12800</v>
      </c>
      <c r="P159" s="335"/>
      <c r="Q159" s="335">
        <f>ROUND('Tabell 4.7'!AK45,0)</f>
        <v>13044</v>
      </c>
      <c r="R159" s="335"/>
      <c r="S159" s="335">
        <f>ROUND('Tabell 4.7'!AM45,0)</f>
        <v>13195</v>
      </c>
      <c r="T159" s="335"/>
      <c r="U159" s="335">
        <f>ROUND('Tabell 4.7'!AO45,0)</f>
        <v>13991</v>
      </c>
      <c r="V159" s="335"/>
      <c r="W159" s="335">
        <f>ROUND('Tabell 4.7'!AQ45,0)</f>
        <v>13573</v>
      </c>
      <c r="X159" s="335"/>
      <c r="Y159" s="335">
        <f>ROUND('Tabell 4.7'!AS45,0)</f>
        <v>14071</v>
      </c>
      <c r="AA159" s="336"/>
      <c r="AC159" s="237" t="str">
        <f t="shared" si="5"/>
        <v>Railway Transport/Transport Measurement/Goods transport ? by consignment and by type of transport/Tonnes-km (Millions) [V-19]/By type of transport/National transport,A-V-05-18-32_10-0_0,14071,,</v>
      </c>
      <c r="AD159" s="239"/>
    </row>
    <row r="160" spans="1:30">
      <c r="A160" s="331" t="s">
        <v>1395</v>
      </c>
      <c r="B160" s="332" t="s">
        <v>1043</v>
      </c>
      <c r="C160" s="334"/>
      <c r="D160" s="332"/>
      <c r="E160" s="342">
        <f>ROUND(5481.608322,0)</f>
        <v>5482</v>
      </c>
      <c r="F160" s="343"/>
      <c r="G160" s="342">
        <f>ROUND(5521.517328,0)</f>
        <v>5522</v>
      </c>
      <c r="H160" s="343"/>
      <c r="I160" s="342">
        <f>ROUND(5290.311865,0)</f>
        <v>5290</v>
      </c>
      <c r="J160" s="343"/>
      <c r="K160" s="342">
        <f>ROUND(5161.47928774821,0)</f>
        <v>5161</v>
      </c>
      <c r="L160" s="343"/>
      <c r="M160" s="342">
        <f>ROUND(5252.343302662,0)</f>
        <v>5252</v>
      </c>
      <c r="N160" s="343"/>
      <c r="O160" s="342">
        <f>ROUND(5189.40050686063,0)</f>
        <v>5189</v>
      </c>
      <c r="P160" s="343"/>
      <c r="Q160" s="342">
        <f>ROUND(5697769/1000,0)</f>
        <v>5698</v>
      </c>
      <c r="R160" s="343"/>
      <c r="S160" s="342"/>
      <c r="T160" s="343"/>
      <c r="U160" s="342"/>
      <c r="V160" s="343"/>
      <c r="W160" s="342"/>
      <c r="X160" s="335"/>
      <c r="Y160" s="342"/>
      <c r="AA160" s="336" t="s">
        <v>1035</v>
      </c>
      <c r="AC160" s="237" t="str">
        <f t="shared" si="5"/>
        <v>Railway Transport/Transport Measurement/Goods transport ? by consignment and by type of transport/Tonnes-km (Millions) [V-19]/By type of transport/International transport - loaded,A-V-05-18-32_21-0_0,,,</v>
      </c>
      <c r="AD160" s="239"/>
    </row>
    <row r="161" spans="1:30">
      <c r="A161" s="331" t="s">
        <v>1396</v>
      </c>
      <c r="B161" s="332" t="s">
        <v>1044</v>
      </c>
      <c r="C161" s="334"/>
      <c r="D161" s="332"/>
      <c r="E161" s="342">
        <f>ROUND(1952.429219,0)</f>
        <v>1952</v>
      </c>
      <c r="F161" s="343"/>
      <c r="G161" s="342">
        <f>ROUND(1995.924629,0)</f>
        <v>1996</v>
      </c>
      <c r="H161" s="343"/>
      <c r="I161" s="342">
        <f>ROUND(1847.799825,0)</f>
        <v>1848</v>
      </c>
      <c r="J161" s="343"/>
      <c r="K161" s="342">
        <f>ROUND(1820.36481997663,0)</f>
        <v>1820</v>
      </c>
      <c r="L161" s="343"/>
      <c r="M161" s="342">
        <f>ROUND(1749.849611128,0)</f>
        <v>1750</v>
      </c>
      <c r="N161" s="343"/>
      <c r="O161" s="342">
        <f>ROUND(1756.13759180272,0)</f>
        <v>1756</v>
      </c>
      <c r="P161" s="343"/>
      <c r="Q161" s="342">
        <f>ROUND(1713886/1000,0)</f>
        <v>1714</v>
      </c>
      <c r="R161" s="343"/>
      <c r="S161" s="342"/>
      <c r="T161" s="343"/>
      <c r="U161" s="342"/>
      <c r="V161" s="343"/>
      <c r="W161" s="342"/>
      <c r="X161" s="335"/>
      <c r="Y161" s="342"/>
      <c r="AA161" s="336" t="s">
        <v>1035</v>
      </c>
      <c r="AC161" s="237" t="str">
        <f t="shared" si="5"/>
        <v>Railway Transport/Transport Measurement/Goods transport ? by consignment and by type of transport/Tonnes-km (Millions) [V-19]/By type of transport/International transport - unloaded,A-V-05-18-32_22-0_0,,,</v>
      </c>
      <c r="AD161" s="239"/>
    </row>
    <row r="162" spans="1:30">
      <c r="A162" s="331" t="s">
        <v>1397</v>
      </c>
      <c r="B162" s="332" t="s">
        <v>1045</v>
      </c>
      <c r="C162" s="334"/>
      <c r="D162" s="332"/>
      <c r="E162" s="342">
        <f>ROUND(1201.497799,0)</f>
        <v>1201</v>
      </c>
      <c r="F162" s="343"/>
      <c r="G162" s="342">
        <f>ROUND(897.7013492,0)</f>
        <v>898</v>
      </c>
      <c r="H162" s="343"/>
      <c r="I162" s="342">
        <f>ROUND(982.9225818,0)</f>
        <v>983</v>
      </c>
      <c r="J162" s="343"/>
      <c r="K162" s="342">
        <f>ROUND(859.3811431,0)</f>
        <v>859</v>
      </c>
      <c r="L162" s="343"/>
      <c r="M162" s="342">
        <f>ROUND(838.4150969,0)</f>
        <v>838</v>
      </c>
      <c r="N162" s="343"/>
      <c r="O162" s="342">
        <f>ROUND(837.844614446,0)</f>
        <v>838</v>
      </c>
      <c r="P162" s="343"/>
      <c r="Q162" s="342">
        <f>ROUND(949697/1000,0)</f>
        <v>950</v>
      </c>
      <c r="R162" s="343"/>
      <c r="S162" s="342"/>
      <c r="T162" s="343"/>
      <c r="U162" s="342"/>
      <c r="V162" s="343"/>
      <c r="W162" s="342"/>
      <c r="X162" s="335"/>
      <c r="Y162" s="342"/>
      <c r="AA162" s="336" t="s">
        <v>1035</v>
      </c>
      <c r="AC162" s="237" t="str">
        <f t="shared" ref="AC162:AC174" si="6">CONCATENATE(B162,",",A162,",",Y162,",",C162,",",D162)</f>
        <v>Railway Transport/Transport Measurement/Goods transport ? by consignment and by type of transport/Tonnes-km (Millions) [V-19]/By type of transport/Transit by rail throughout,A-V-05-18-32_31-0_0,,,</v>
      </c>
      <c r="AD162" s="239"/>
    </row>
    <row r="163" spans="1:30">
      <c r="A163" s="331" t="s">
        <v>1398</v>
      </c>
      <c r="B163" s="332" t="s">
        <v>1046</v>
      </c>
      <c r="C163" s="334"/>
      <c r="D163" s="332"/>
      <c r="E163" s="335">
        <f>ROUND('Tabell 4.7'!Y14,0)</f>
        <v>40399</v>
      </c>
      <c r="F163" s="335"/>
      <c r="G163" s="335">
        <f>ROUND('Tabell 4.7'!AA14,0)</f>
        <v>39394</v>
      </c>
      <c r="H163" s="335"/>
      <c r="I163" s="335">
        <f>ROUND('Tabell 4.7'!AC14,0)</f>
        <v>37113</v>
      </c>
      <c r="J163" s="335"/>
      <c r="K163" s="335">
        <f>ROUND('Tabell 4.7'!AE14,0)</f>
        <v>36514</v>
      </c>
      <c r="L163" s="335"/>
      <c r="M163" s="335">
        <f>ROUND('Tabell 4.7'!AG14,0)</f>
        <v>37331</v>
      </c>
      <c r="N163" s="335"/>
      <c r="O163" s="335">
        <f>ROUND('Tabell 4.7'!AI14,0)</f>
        <v>36303</v>
      </c>
      <c r="P163" s="335"/>
      <c r="Q163" s="335">
        <f>ROUND('Tabell 4.7'!AK14,0)</f>
        <v>36329</v>
      </c>
      <c r="R163" s="335"/>
      <c r="S163" s="335">
        <f>ROUND('Tabell 4.7'!AM14,0)</f>
        <v>37631</v>
      </c>
      <c r="T163" s="335"/>
      <c r="U163" s="335">
        <f>ROUND('Tabell 4.7'!AO14,0)</f>
        <v>36008</v>
      </c>
      <c r="V163" s="335"/>
      <c r="W163" s="335">
        <f>ROUND('Tabell 4.7'!AQ14,0)</f>
        <v>35362</v>
      </c>
      <c r="X163" s="335"/>
      <c r="Y163" s="335">
        <f>ROUND('Tabell 4.7'!AS14,0)</f>
        <v>36236</v>
      </c>
      <c r="AA163" s="336"/>
      <c r="AC163" s="237" t="str">
        <f t="shared" si="6"/>
        <v>Railway Transport/Transport Measurement/National goods transport/Tonnes (1000)/Total,A-V-06-17-0_0-0_0,36236,,</v>
      </c>
      <c r="AD163" s="239"/>
    </row>
    <row r="164" spans="1:30">
      <c r="A164" s="331" t="s">
        <v>1399</v>
      </c>
      <c r="B164" s="332" t="s">
        <v>1047</v>
      </c>
      <c r="C164" s="334" t="s">
        <v>884</v>
      </c>
      <c r="D164" s="332"/>
      <c r="E164" s="337"/>
      <c r="F164" s="337"/>
      <c r="G164" s="337"/>
      <c r="H164" s="337"/>
      <c r="I164" s="337"/>
      <c r="J164" s="337"/>
      <c r="K164" s="337"/>
      <c r="L164" s="337"/>
      <c r="M164" s="337"/>
      <c r="N164" s="337"/>
      <c r="O164" s="337"/>
      <c r="P164" s="337"/>
      <c r="Q164" s="337"/>
      <c r="R164" s="337"/>
      <c r="S164" s="337"/>
      <c r="T164" s="337"/>
      <c r="U164" s="337"/>
      <c r="V164" s="337"/>
      <c r="W164" s="337"/>
      <c r="X164" s="337"/>
      <c r="Y164" s="337"/>
      <c r="AA164" s="336"/>
      <c r="AC164" s="237" t="str">
        <f t="shared" si="6"/>
        <v>Railway Transport/Transport Measurement/National goods transport/Tonnes (1000)/By distance class moved/0-49 km,A-V-06-17-08_10-0_0,,:,</v>
      </c>
      <c r="AD164" s="239"/>
    </row>
    <row r="165" spans="1:30">
      <c r="A165" s="331" t="s">
        <v>1400</v>
      </c>
      <c r="B165" s="332" t="s">
        <v>1048</v>
      </c>
      <c r="C165" s="334" t="s">
        <v>884</v>
      </c>
      <c r="D165" s="332"/>
      <c r="E165" s="337"/>
      <c r="F165" s="337"/>
      <c r="G165" s="337"/>
      <c r="H165" s="337"/>
      <c r="I165" s="337"/>
      <c r="J165" s="337"/>
      <c r="K165" s="337"/>
      <c r="L165" s="337"/>
      <c r="M165" s="337"/>
      <c r="N165" s="337"/>
      <c r="O165" s="337"/>
      <c r="P165" s="337"/>
      <c r="Q165" s="337"/>
      <c r="R165" s="337"/>
      <c r="S165" s="337"/>
      <c r="T165" s="337"/>
      <c r="U165" s="337"/>
      <c r="V165" s="337"/>
      <c r="W165" s="337"/>
      <c r="X165" s="337"/>
      <c r="Y165" s="337"/>
      <c r="AA165" s="336"/>
      <c r="AC165" s="237" t="str">
        <f t="shared" si="6"/>
        <v>Railway Transport/Transport Measurement/National goods transport/Tonnes (1000)/By distance class moved/50-149 km,A-V-06-17-08_20-0_0,,:,</v>
      </c>
      <c r="AD165" s="239"/>
    </row>
    <row r="166" spans="1:30">
      <c r="A166" s="331" t="s">
        <v>1401</v>
      </c>
      <c r="B166" s="332" t="s">
        <v>1049</v>
      </c>
      <c r="C166" s="334" t="s">
        <v>884</v>
      </c>
      <c r="D166" s="332"/>
      <c r="E166" s="337"/>
      <c r="F166" s="337"/>
      <c r="G166" s="337"/>
      <c r="H166" s="337"/>
      <c r="I166" s="337"/>
      <c r="J166" s="337"/>
      <c r="K166" s="337"/>
      <c r="L166" s="337"/>
      <c r="M166" s="337"/>
      <c r="N166" s="337"/>
      <c r="O166" s="337"/>
      <c r="P166" s="337"/>
      <c r="Q166" s="337"/>
      <c r="R166" s="337"/>
      <c r="S166" s="337"/>
      <c r="T166" s="337"/>
      <c r="U166" s="337"/>
      <c r="V166" s="337"/>
      <c r="W166" s="337"/>
      <c r="X166" s="337"/>
      <c r="Y166" s="337"/>
      <c r="AA166" s="336"/>
      <c r="AC166" s="237" t="str">
        <f t="shared" si="6"/>
        <v>Railway Transport/Transport Measurement/National goods transport/Tonnes (1000)/By distance class moved/150-299 km,A-V-06-17-08_31-0_0,,:,</v>
      </c>
      <c r="AD166" s="239"/>
    </row>
    <row r="167" spans="1:30">
      <c r="A167" s="331" t="s">
        <v>1402</v>
      </c>
      <c r="B167" s="332" t="s">
        <v>1050</v>
      </c>
      <c r="C167" s="334" t="s">
        <v>884</v>
      </c>
      <c r="D167" s="332"/>
      <c r="E167" s="337"/>
      <c r="F167" s="337"/>
      <c r="G167" s="337"/>
      <c r="H167" s="337"/>
      <c r="I167" s="337"/>
      <c r="J167" s="337"/>
      <c r="K167" s="337"/>
      <c r="L167" s="337"/>
      <c r="M167" s="337"/>
      <c r="N167" s="337"/>
      <c r="O167" s="337"/>
      <c r="P167" s="337"/>
      <c r="Q167" s="337"/>
      <c r="R167" s="337"/>
      <c r="S167" s="337"/>
      <c r="T167" s="337"/>
      <c r="U167" s="337"/>
      <c r="V167" s="337"/>
      <c r="W167" s="337"/>
      <c r="X167" s="337"/>
      <c r="Y167" s="337"/>
      <c r="AA167" s="336"/>
      <c r="AC167" s="237" t="str">
        <f t="shared" si="6"/>
        <v>Railway Transport/Transport Measurement/National goods transport/Tonnes (1000)/By distance class moved/300-499 km,A-V-06-17-08_32-0_0,,:,</v>
      </c>
      <c r="AD167" s="239"/>
    </row>
    <row r="168" spans="1:30">
      <c r="A168" s="331" t="s">
        <v>1403</v>
      </c>
      <c r="B168" s="332" t="s">
        <v>1051</v>
      </c>
      <c r="C168" s="334" t="s">
        <v>884</v>
      </c>
      <c r="D168" s="332"/>
      <c r="E168" s="337"/>
      <c r="F168" s="337"/>
      <c r="G168" s="337"/>
      <c r="H168" s="337"/>
      <c r="I168" s="337"/>
      <c r="J168" s="337"/>
      <c r="K168" s="337"/>
      <c r="L168" s="337"/>
      <c r="M168" s="337"/>
      <c r="N168" s="337"/>
      <c r="O168" s="337"/>
      <c r="P168" s="337"/>
      <c r="Q168" s="337"/>
      <c r="R168" s="337"/>
      <c r="S168" s="337"/>
      <c r="T168" s="337"/>
      <c r="U168" s="337"/>
      <c r="V168" s="337"/>
      <c r="W168" s="337"/>
      <c r="X168" s="337"/>
      <c r="Y168" s="337"/>
      <c r="AA168" s="336"/>
      <c r="AC168" s="237" t="str">
        <f t="shared" si="6"/>
        <v>Railway Transport/Transport Measurement/National goods transport/Tonnes (1000)/By distance class moved/500 km and more,A-V-06-17-08_40-0_0,,:,</v>
      </c>
      <c r="AD168" s="239"/>
    </row>
    <row r="169" spans="1:30">
      <c r="A169" s="331" t="s">
        <v>1404</v>
      </c>
      <c r="B169" s="332" t="s">
        <v>1052</v>
      </c>
      <c r="C169" s="334"/>
      <c r="D169" s="332"/>
      <c r="E169" s="335">
        <f>ROUND('Tabell 4.7'!Y45,0)</f>
        <v>14828</v>
      </c>
      <c r="F169" s="335"/>
      <c r="G169" s="335">
        <f>ROUND('Tabell 4.7'!AA45,0)</f>
        <v>14449</v>
      </c>
      <c r="H169" s="335"/>
      <c r="I169" s="335">
        <f>ROUND('Tabell 4.7'!AC45,0)</f>
        <v>13922</v>
      </c>
      <c r="J169" s="335"/>
      <c r="K169" s="335">
        <f>ROUND('Tabell 4.7'!AE45,0)</f>
        <v>13129</v>
      </c>
      <c r="L169" s="335"/>
      <c r="M169" s="335">
        <f>ROUND('Tabell 4.7'!AG45,0)</f>
        <v>13456</v>
      </c>
      <c r="N169" s="335"/>
      <c r="O169" s="335">
        <f>ROUND('Tabell 4.7'!AI45,0)</f>
        <v>12800</v>
      </c>
      <c r="P169" s="335"/>
      <c r="Q169" s="335">
        <f>ROUND('Tabell 4.7'!AK45,0)</f>
        <v>13044</v>
      </c>
      <c r="R169" s="335"/>
      <c r="S169" s="335">
        <f>ROUND('Tabell 4.7'!AM45,0)</f>
        <v>13195</v>
      </c>
      <c r="T169" s="335"/>
      <c r="U169" s="335">
        <f>ROUND('Tabell 4.7'!AO45,0)</f>
        <v>13991</v>
      </c>
      <c r="V169" s="335"/>
      <c r="W169" s="335">
        <f>ROUND('Tabell 4.7'!AQ45,0)</f>
        <v>13573</v>
      </c>
      <c r="X169" s="335"/>
      <c r="Y169" s="335">
        <f>ROUND('Tabell 4.7'!AS45,0)</f>
        <v>14071</v>
      </c>
      <c r="AA169" s="336"/>
      <c r="AC169" s="237" t="str">
        <f t="shared" si="6"/>
        <v>Railway Transport/Transport Measurement/National goods transport/Tonnes-km (Millions) [V-19]/Total,A-V-06-18-0_0-0_0,14071,,</v>
      </c>
      <c r="AD169" s="239"/>
    </row>
    <row r="170" spans="1:30">
      <c r="A170" s="331" t="s">
        <v>1405</v>
      </c>
      <c r="B170" s="332" t="s">
        <v>1053</v>
      </c>
      <c r="C170" s="334" t="s">
        <v>884</v>
      </c>
      <c r="D170" s="332"/>
      <c r="E170" s="337"/>
      <c r="F170" s="337"/>
      <c r="G170" s="337"/>
      <c r="H170" s="337"/>
      <c r="I170" s="337"/>
      <c r="J170" s="337"/>
      <c r="K170" s="337"/>
      <c r="L170" s="337"/>
      <c r="M170" s="337"/>
      <c r="N170" s="337"/>
      <c r="O170" s="337"/>
      <c r="P170" s="337"/>
      <c r="Q170" s="337"/>
      <c r="R170" s="337"/>
      <c r="S170" s="337"/>
      <c r="T170" s="337"/>
      <c r="U170" s="337"/>
      <c r="V170" s="337"/>
      <c r="W170" s="337"/>
      <c r="X170" s="337"/>
      <c r="Y170" s="337"/>
      <c r="AA170" s="336"/>
      <c r="AC170" s="237" t="str">
        <f t="shared" si="6"/>
        <v>Railway Transport/Transport Measurement/National goods transport/Tonnes-km (Millions) [V-19]/By distance class moved/0-49 km,A-V-06-18-08_10-0_0,,:,</v>
      </c>
      <c r="AD170" s="239"/>
    </row>
    <row r="171" spans="1:30">
      <c r="A171" s="331" t="s">
        <v>1406</v>
      </c>
      <c r="B171" s="332" t="s">
        <v>1054</v>
      </c>
      <c r="C171" s="334" t="s">
        <v>884</v>
      </c>
      <c r="D171" s="332"/>
      <c r="E171" s="337"/>
      <c r="F171" s="337"/>
      <c r="G171" s="337"/>
      <c r="H171" s="337"/>
      <c r="I171" s="337"/>
      <c r="J171" s="337"/>
      <c r="K171" s="337"/>
      <c r="L171" s="337"/>
      <c r="M171" s="337"/>
      <c r="N171" s="337"/>
      <c r="O171" s="337"/>
      <c r="P171" s="337"/>
      <c r="Q171" s="337"/>
      <c r="R171" s="337"/>
      <c r="S171" s="337"/>
      <c r="T171" s="337"/>
      <c r="U171" s="337"/>
      <c r="V171" s="337"/>
      <c r="W171" s="337"/>
      <c r="X171" s="337"/>
      <c r="Y171" s="337"/>
      <c r="AA171" s="336"/>
      <c r="AC171" s="237" t="str">
        <f t="shared" si="6"/>
        <v>Railway Transport/Transport Measurement/National goods transport/Tonnes-km (Millions) [V-19]/By distance class moved/50-149 km,A-V-06-18-08_20-0_0,,:,</v>
      </c>
      <c r="AD171" s="239"/>
    </row>
    <row r="172" spans="1:30">
      <c r="A172" s="331" t="s">
        <v>1407</v>
      </c>
      <c r="B172" s="332" t="s">
        <v>1055</v>
      </c>
      <c r="C172" s="334" t="s">
        <v>884</v>
      </c>
      <c r="D172" s="332"/>
      <c r="E172" s="337"/>
      <c r="F172" s="337"/>
      <c r="G172" s="337"/>
      <c r="H172" s="337"/>
      <c r="I172" s="337"/>
      <c r="J172" s="337"/>
      <c r="K172" s="337"/>
      <c r="L172" s="337"/>
      <c r="M172" s="337"/>
      <c r="N172" s="337"/>
      <c r="O172" s="337"/>
      <c r="P172" s="337"/>
      <c r="Q172" s="337"/>
      <c r="R172" s="337"/>
      <c r="S172" s="337"/>
      <c r="T172" s="337"/>
      <c r="U172" s="337"/>
      <c r="V172" s="337"/>
      <c r="W172" s="337"/>
      <c r="X172" s="337"/>
      <c r="Y172" s="337"/>
      <c r="AA172" s="336"/>
      <c r="AC172" s="237" t="str">
        <f t="shared" si="6"/>
        <v>Railway Transport/Transport Measurement/National goods transport/Tonnes-km (Millions) [V-19]/By distance class moved/150-299 km,A-V-06-18-08_31-0_0,,:,</v>
      </c>
      <c r="AD172" s="239"/>
    </row>
    <row r="173" spans="1:30">
      <c r="A173" s="331" t="s">
        <v>1408</v>
      </c>
      <c r="B173" s="332" t="s">
        <v>1056</v>
      </c>
      <c r="C173" s="334" t="s">
        <v>884</v>
      </c>
      <c r="D173" s="332"/>
      <c r="E173" s="337"/>
      <c r="F173" s="337"/>
      <c r="G173" s="337"/>
      <c r="H173" s="337"/>
      <c r="I173" s="337"/>
      <c r="J173" s="337"/>
      <c r="K173" s="337"/>
      <c r="L173" s="337"/>
      <c r="M173" s="337"/>
      <c r="N173" s="337"/>
      <c r="O173" s="337"/>
      <c r="P173" s="337"/>
      <c r="Q173" s="337"/>
      <c r="R173" s="337"/>
      <c r="S173" s="337"/>
      <c r="T173" s="337"/>
      <c r="U173" s="337"/>
      <c r="V173" s="337"/>
      <c r="W173" s="337"/>
      <c r="X173" s="337"/>
      <c r="Y173" s="337"/>
      <c r="AA173" s="336"/>
      <c r="AC173" s="237" t="str">
        <f t="shared" si="6"/>
        <v>Railway Transport/Transport Measurement/National goods transport/Tonnes-km (Millions) [V-19]/By distance class moved/300-499 km,A-V-06-18-08_32-0_0,,:,</v>
      </c>
      <c r="AD173" s="239"/>
    </row>
    <row r="174" spans="1:30">
      <c r="A174" s="331" t="s">
        <v>1409</v>
      </c>
      <c r="B174" s="332" t="s">
        <v>1057</v>
      </c>
      <c r="C174" s="334" t="s">
        <v>884</v>
      </c>
      <c r="D174" s="332"/>
      <c r="E174" s="337"/>
      <c r="F174" s="337"/>
      <c r="G174" s="337"/>
      <c r="H174" s="337"/>
      <c r="I174" s="337"/>
      <c r="J174" s="337"/>
      <c r="K174" s="337"/>
      <c r="L174" s="337"/>
      <c r="M174" s="337"/>
      <c r="N174" s="337"/>
      <c r="O174" s="337"/>
      <c r="P174" s="337"/>
      <c r="Q174" s="337"/>
      <c r="R174" s="337"/>
      <c r="S174" s="337"/>
      <c r="T174" s="337"/>
      <c r="U174" s="337"/>
      <c r="V174" s="337"/>
      <c r="W174" s="337"/>
      <c r="X174" s="337"/>
      <c r="Y174" s="337"/>
      <c r="AA174" s="336"/>
      <c r="AC174" s="237" t="str">
        <f t="shared" si="6"/>
        <v>Railway Transport/Transport Measurement/National goods transport/Tonnes-km (Millions) [V-19]/By distance class moved/500 km and more,A-V-06-18-08_40-0_0,,:,</v>
      </c>
      <c r="AD174" s="239"/>
    </row>
    <row r="175" spans="1:30">
      <c r="D175" s="332"/>
    </row>
  </sheetData>
  <pageMargins left="0.7" right="0.7" top="0.75" bottom="0.75" header="0.3" footer="0.3"/>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42:A43"/>
  <sheetViews>
    <sheetView zoomScaleNormal="100" workbookViewId="0"/>
  </sheetViews>
  <sheetFormatPr defaultColWidth="9.109375" defaultRowHeight="10.199999999999999"/>
  <cols>
    <col min="1" max="16384" width="9.109375" style="233"/>
  </cols>
  <sheetData>
    <row r="42" spans="1:1" s="231" customFormat="1" ht="15.75" customHeight="1">
      <c r="A42" s="247" t="s">
        <v>1467</v>
      </c>
    </row>
    <row r="43" spans="1:1" s="232" customFormat="1" ht="12.75" customHeight="1"/>
  </sheetData>
  <pageMargins left="0" right="0" top="0.19685039370078741" bottom="0.19685039370078741" header="0" footer="0.31496062992125984"/>
  <pageSetup paperSize="9" scale="9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134"/>
  <sheetViews>
    <sheetView zoomScaleNormal="100" workbookViewId="0">
      <selection sqref="A1:S1"/>
    </sheetView>
  </sheetViews>
  <sheetFormatPr defaultColWidth="8" defaultRowHeight="35.25" customHeight="1"/>
  <cols>
    <col min="1" max="19" width="8.6640625" style="265" customWidth="1"/>
    <col min="20" max="16384" width="8" style="265"/>
  </cols>
  <sheetData>
    <row r="1" spans="1:38" ht="32.25" customHeight="1">
      <c r="A1" s="420" t="s">
        <v>1439</v>
      </c>
      <c r="B1" s="420"/>
      <c r="C1" s="420"/>
      <c r="D1" s="420"/>
      <c r="E1" s="420"/>
      <c r="F1" s="420"/>
      <c r="G1" s="420"/>
      <c r="H1" s="420"/>
      <c r="I1" s="420"/>
      <c r="J1" s="420"/>
      <c r="K1" s="420"/>
      <c r="L1" s="420"/>
      <c r="M1" s="420"/>
      <c r="N1" s="420"/>
      <c r="O1" s="420"/>
      <c r="P1" s="420"/>
      <c r="Q1" s="420"/>
      <c r="R1" s="420"/>
      <c r="S1" s="420"/>
      <c r="T1" s="386"/>
    </row>
    <row r="2" spans="1:38" ht="15" customHeight="1">
      <c r="A2" s="378"/>
      <c r="B2" s="378"/>
      <c r="C2" s="378"/>
      <c r="D2" s="378"/>
      <c r="E2" s="378"/>
      <c r="F2" s="378"/>
      <c r="G2" s="378"/>
      <c r="H2" s="378"/>
      <c r="I2" s="378"/>
      <c r="J2" s="378"/>
      <c r="K2" s="378"/>
      <c r="L2" s="378"/>
      <c r="M2" s="378"/>
      <c r="N2" s="378"/>
      <c r="O2" s="378"/>
      <c r="P2" s="378"/>
      <c r="Q2" s="378"/>
      <c r="R2" s="378"/>
      <c r="S2" s="378"/>
    </row>
    <row r="3" spans="1:38" ht="15" customHeight="1">
      <c r="A3" s="298"/>
      <c r="B3" s="352"/>
      <c r="C3" s="270"/>
      <c r="D3" s="270"/>
      <c r="E3" s="270"/>
      <c r="F3" s="270"/>
      <c r="G3" s="270"/>
      <c r="H3" s="270"/>
      <c r="I3" s="270"/>
      <c r="J3" s="270"/>
      <c r="K3" s="270"/>
      <c r="L3" s="270"/>
      <c r="M3" s="270"/>
      <c r="N3" s="270"/>
      <c r="O3" s="270"/>
      <c r="P3" s="270"/>
      <c r="Q3" s="270"/>
      <c r="R3" s="270"/>
      <c r="S3" s="270"/>
    </row>
    <row r="4" spans="1:38" ht="6" customHeight="1">
      <c r="A4" s="298"/>
      <c r="B4" s="352"/>
      <c r="C4" s="270"/>
      <c r="D4" s="270"/>
      <c r="E4" s="270"/>
      <c r="F4" s="270"/>
      <c r="G4" s="270"/>
      <c r="H4" s="270"/>
      <c r="I4" s="270"/>
      <c r="J4" s="270"/>
      <c r="K4" s="270"/>
      <c r="L4" s="270"/>
      <c r="M4" s="270"/>
      <c r="N4" s="270"/>
      <c r="O4" s="270"/>
      <c r="P4" s="270"/>
      <c r="Q4" s="270"/>
      <c r="R4" s="270"/>
      <c r="S4" s="270"/>
    </row>
    <row r="5" spans="1:38" ht="46.5" customHeight="1">
      <c r="A5" s="379"/>
      <c r="B5" s="379"/>
      <c r="C5" s="379"/>
      <c r="D5" s="379"/>
      <c r="E5" s="379"/>
      <c r="F5" s="379"/>
      <c r="G5" s="379"/>
      <c r="H5" s="379"/>
      <c r="I5" s="379"/>
      <c r="J5" s="379"/>
      <c r="K5" s="379"/>
      <c r="L5" s="379"/>
      <c r="M5" s="379"/>
      <c r="N5" s="379"/>
      <c r="O5" s="379"/>
      <c r="P5" s="379"/>
      <c r="Q5" s="379"/>
      <c r="R5" s="379"/>
      <c r="S5" s="379"/>
    </row>
    <row r="6" spans="1:38" ht="6" customHeight="1">
      <c r="A6" s="380"/>
      <c r="B6" s="380"/>
      <c r="C6" s="380"/>
      <c r="D6" s="380"/>
      <c r="E6" s="380"/>
      <c r="F6" s="380"/>
      <c r="G6" s="380"/>
      <c r="H6" s="380"/>
      <c r="I6" s="380"/>
      <c r="J6" s="380"/>
      <c r="K6" s="380"/>
      <c r="L6" s="380"/>
      <c r="M6" s="380"/>
      <c r="N6" s="380"/>
      <c r="O6" s="380"/>
      <c r="P6" s="380"/>
      <c r="Q6" s="380"/>
      <c r="R6" s="380"/>
      <c r="S6" s="380"/>
    </row>
    <row r="7" spans="1:38" ht="18" customHeight="1">
      <c r="A7" s="379"/>
      <c r="B7" s="379"/>
      <c r="C7" s="379"/>
      <c r="D7" s="379"/>
      <c r="E7" s="379"/>
      <c r="F7" s="379"/>
      <c r="G7" s="379"/>
      <c r="H7" s="379"/>
      <c r="I7" s="379"/>
      <c r="J7" s="379"/>
      <c r="K7" s="379"/>
      <c r="L7" s="379"/>
      <c r="M7" s="379"/>
      <c r="N7" s="379"/>
      <c r="O7" s="379"/>
      <c r="P7" s="379"/>
      <c r="Q7" s="379"/>
      <c r="R7" s="379"/>
      <c r="S7" s="379"/>
    </row>
    <row r="8" spans="1:38" ht="6" customHeight="1">
      <c r="A8" s="380"/>
      <c r="B8" s="380"/>
      <c r="C8" s="380"/>
      <c r="D8" s="380"/>
      <c r="E8" s="380"/>
      <c r="F8" s="380"/>
      <c r="G8" s="380"/>
      <c r="H8" s="380"/>
      <c r="I8" s="380"/>
      <c r="J8" s="380"/>
      <c r="K8" s="380"/>
      <c r="L8" s="380"/>
      <c r="M8" s="380"/>
      <c r="N8" s="380"/>
      <c r="O8" s="380"/>
      <c r="P8" s="380"/>
      <c r="Q8" s="380"/>
      <c r="R8" s="380"/>
      <c r="S8" s="268"/>
    </row>
    <row r="9" spans="1:38" ht="51.75" customHeight="1">
      <c r="A9" s="379"/>
      <c r="B9" s="379"/>
      <c r="C9" s="379"/>
      <c r="D9" s="379"/>
      <c r="E9" s="379"/>
      <c r="F9" s="379"/>
      <c r="G9" s="379"/>
      <c r="H9" s="379"/>
      <c r="I9" s="379"/>
      <c r="J9" s="379"/>
      <c r="K9" s="379"/>
      <c r="L9" s="379"/>
      <c r="M9" s="379"/>
      <c r="N9" s="379"/>
      <c r="O9" s="379"/>
      <c r="P9" s="379"/>
      <c r="Q9" s="379"/>
      <c r="R9" s="379"/>
      <c r="S9" s="379"/>
    </row>
    <row r="10" spans="1:38" ht="6" customHeight="1">
      <c r="A10" s="380"/>
      <c r="B10" s="380"/>
      <c r="C10" s="380"/>
      <c r="D10" s="380"/>
      <c r="E10" s="380"/>
      <c r="F10" s="380"/>
      <c r="G10" s="380"/>
      <c r="H10" s="380"/>
      <c r="I10" s="380"/>
      <c r="J10" s="380"/>
      <c r="K10" s="380"/>
      <c r="L10" s="380"/>
      <c r="M10" s="380"/>
      <c r="N10" s="380"/>
      <c r="O10" s="380"/>
      <c r="P10" s="380"/>
      <c r="Q10" s="380"/>
      <c r="R10" s="380"/>
      <c r="S10" s="380"/>
    </row>
    <row r="11" spans="1:38" ht="42" customHeight="1">
      <c r="A11" s="379"/>
      <c r="B11" s="379"/>
      <c r="C11" s="379"/>
      <c r="D11" s="379"/>
      <c r="E11" s="379"/>
      <c r="F11" s="379"/>
      <c r="G11" s="379"/>
      <c r="H11" s="379"/>
      <c r="I11" s="379"/>
      <c r="J11" s="379"/>
      <c r="K11" s="379"/>
      <c r="L11" s="379"/>
      <c r="M11" s="379"/>
      <c r="N11" s="379"/>
      <c r="O11" s="379"/>
      <c r="P11" s="379"/>
      <c r="Q11" s="379"/>
      <c r="R11" s="379"/>
      <c r="S11" s="379"/>
      <c r="T11" s="379"/>
      <c r="U11" s="379"/>
    </row>
    <row r="12" spans="1:38" ht="6" customHeight="1">
      <c r="A12" s="379"/>
      <c r="B12" s="379"/>
      <c r="C12" s="379"/>
      <c r="D12" s="379"/>
      <c r="E12" s="379"/>
      <c r="F12" s="379"/>
      <c r="G12" s="379"/>
      <c r="H12" s="379"/>
      <c r="I12" s="379"/>
      <c r="J12" s="379"/>
      <c r="K12" s="379"/>
      <c r="L12" s="379"/>
      <c r="M12" s="379"/>
      <c r="N12" s="379"/>
      <c r="O12" s="379"/>
      <c r="P12" s="379"/>
      <c r="Q12" s="379"/>
      <c r="R12" s="379"/>
      <c r="S12" s="379"/>
      <c r="T12" s="379"/>
      <c r="U12" s="379"/>
      <c r="V12" s="353"/>
      <c r="W12" s="353"/>
      <c r="X12" s="353"/>
      <c r="Y12" s="353"/>
      <c r="Z12" s="353"/>
      <c r="AA12" s="353"/>
      <c r="AB12" s="353"/>
      <c r="AC12" s="353"/>
      <c r="AD12" s="353"/>
      <c r="AE12" s="353"/>
      <c r="AF12" s="353"/>
      <c r="AG12" s="353"/>
      <c r="AH12" s="353"/>
      <c r="AI12" s="353"/>
      <c r="AJ12" s="353"/>
      <c r="AK12" s="353"/>
      <c r="AL12" s="353"/>
    </row>
    <row r="13" spans="1:38" ht="82.5" customHeight="1">
      <c r="A13" s="379"/>
      <c r="B13" s="379"/>
      <c r="C13" s="379"/>
      <c r="D13" s="379"/>
      <c r="E13" s="379"/>
      <c r="F13" s="379"/>
      <c r="G13" s="379"/>
      <c r="H13" s="379"/>
      <c r="I13" s="379"/>
      <c r="J13" s="379"/>
      <c r="K13" s="379"/>
      <c r="L13" s="379"/>
      <c r="M13" s="379"/>
      <c r="N13" s="379"/>
      <c r="O13" s="379"/>
      <c r="P13" s="379"/>
      <c r="Q13" s="379"/>
      <c r="R13" s="379"/>
      <c r="S13" s="379"/>
      <c r="T13" s="379"/>
      <c r="U13" s="379"/>
    </row>
    <row r="14" spans="1:38" ht="6" customHeight="1">
      <c r="A14" s="379"/>
      <c r="B14" s="379"/>
      <c r="C14" s="379"/>
      <c r="D14" s="379"/>
      <c r="E14" s="379"/>
      <c r="F14" s="379"/>
      <c r="G14" s="379"/>
      <c r="H14" s="379"/>
      <c r="I14" s="379"/>
      <c r="J14" s="379"/>
      <c r="K14" s="379"/>
      <c r="L14" s="379"/>
      <c r="M14" s="379"/>
      <c r="N14" s="379"/>
      <c r="O14" s="379"/>
      <c r="P14" s="379"/>
      <c r="Q14" s="379"/>
      <c r="R14" s="379"/>
      <c r="S14" s="379"/>
      <c r="T14" s="379"/>
      <c r="U14" s="379"/>
    </row>
    <row r="15" spans="1:38" ht="30.75" customHeight="1">
      <c r="A15" s="379"/>
      <c r="B15" s="379"/>
      <c r="C15" s="379"/>
      <c r="D15" s="379"/>
      <c r="E15" s="379"/>
      <c r="F15" s="379"/>
      <c r="G15" s="379"/>
      <c r="H15" s="379"/>
      <c r="I15" s="379"/>
      <c r="J15" s="379"/>
      <c r="K15" s="379"/>
      <c r="L15" s="379"/>
      <c r="M15" s="379"/>
      <c r="N15" s="379"/>
      <c r="O15" s="379"/>
      <c r="P15" s="379"/>
      <c r="Q15" s="379"/>
      <c r="R15" s="379"/>
      <c r="S15" s="379"/>
      <c r="T15" s="379"/>
      <c r="U15" s="379"/>
    </row>
    <row r="16" spans="1:38" ht="10.5" customHeight="1">
      <c r="A16" s="379"/>
      <c r="B16" s="379"/>
      <c r="C16" s="379"/>
      <c r="D16" s="379"/>
      <c r="E16" s="379"/>
      <c r="F16" s="379"/>
      <c r="G16" s="379"/>
      <c r="H16" s="379"/>
      <c r="I16" s="379"/>
      <c r="J16" s="379"/>
      <c r="K16" s="379"/>
      <c r="L16" s="379"/>
      <c r="M16" s="379"/>
      <c r="N16" s="379"/>
      <c r="O16" s="379"/>
      <c r="P16" s="379"/>
      <c r="Q16" s="379"/>
      <c r="R16" s="379"/>
      <c r="S16" s="379"/>
      <c r="T16" s="379"/>
      <c r="U16" s="379"/>
    </row>
    <row r="17" spans="1:21" ht="6" customHeight="1">
      <c r="A17" s="379"/>
      <c r="B17" s="379"/>
      <c r="C17" s="379"/>
      <c r="D17" s="379"/>
      <c r="E17" s="379"/>
      <c r="F17" s="379"/>
      <c r="G17" s="379"/>
      <c r="H17" s="379"/>
      <c r="I17" s="379"/>
      <c r="J17" s="379"/>
      <c r="K17" s="379"/>
      <c r="L17" s="379"/>
      <c r="M17" s="379"/>
      <c r="N17" s="379"/>
      <c r="O17" s="379"/>
      <c r="P17" s="379"/>
      <c r="Q17" s="379"/>
      <c r="R17" s="379"/>
      <c r="S17" s="379"/>
      <c r="T17" s="379"/>
      <c r="U17" s="379"/>
    </row>
    <row r="18" spans="1:21" ht="212.25" customHeight="1">
      <c r="A18" s="380"/>
      <c r="B18" s="380"/>
      <c r="C18" s="380"/>
      <c r="D18" s="380"/>
      <c r="E18" s="380"/>
      <c r="F18" s="380"/>
      <c r="G18" s="380"/>
      <c r="H18" s="380"/>
      <c r="I18" s="380"/>
      <c r="J18" s="380"/>
      <c r="K18" s="380"/>
      <c r="L18" s="380"/>
      <c r="M18" s="380"/>
      <c r="N18" s="380"/>
      <c r="O18" s="380"/>
      <c r="P18" s="380"/>
      <c r="Q18" s="380"/>
      <c r="R18" s="380"/>
      <c r="S18" s="380"/>
    </row>
    <row r="19" spans="1:21" ht="11.25" customHeight="1">
      <c r="A19" s="408"/>
      <c r="B19" s="408"/>
      <c r="C19" s="408"/>
      <c r="D19" s="408"/>
      <c r="E19" s="408"/>
      <c r="F19" s="408"/>
      <c r="G19" s="408"/>
      <c r="H19" s="408"/>
      <c r="I19" s="408"/>
      <c r="J19" s="408"/>
      <c r="K19" s="408"/>
      <c r="L19" s="408"/>
      <c r="M19" s="408"/>
      <c r="N19" s="408"/>
      <c r="O19" s="408"/>
      <c r="P19" s="408"/>
      <c r="Q19" s="408"/>
      <c r="R19" s="408"/>
      <c r="S19" s="408"/>
    </row>
    <row r="20" spans="1:21" ht="11.25" customHeight="1">
      <c r="A20" s="354"/>
      <c r="B20" s="380"/>
      <c r="C20" s="380"/>
      <c r="D20" s="380"/>
      <c r="E20" s="380"/>
      <c r="F20" s="380"/>
      <c r="G20" s="380"/>
      <c r="H20" s="380"/>
      <c r="I20" s="380"/>
      <c r="J20" s="380"/>
      <c r="K20" s="380"/>
      <c r="L20" s="380"/>
      <c r="M20" s="380"/>
      <c r="N20" s="380"/>
      <c r="O20" s="380"/>
      <c r="P20" s="380"/>
      <c r="Q20" s="380"/>
      <c r="R20" s="380"/>
      <c r="S20" s="380"/>
    </row>
    <row r="21" spans="1:21" ht="11.25" customHeight="1">
      <c r="A21" s="380"/>
      <c r="B21" s="380"/>
      <c r="C21" s="380"/>
      <c r="D21" s="380"/>
      <c r="E21" s="380"/>
      <c r="F21" s="380"/>
      <c r="G21" s="380"/>
      <c r="H21" s="380"/>
      <c r="I21" s="380"/>
      <c r="J21" s="380"/>
      <c r="K21" s="380"/>
      <c r="L21" s="380"/>
      <c r="M21" s="380"/>
      <c r="N21" s="380"/>
      <c r="O21" s="380"/>
      <c r="P21" s="380"/>
      <c r="Q21" s="380"/>
      <c r="R21" s="380"/>
      <c r="S21" s="380"/>
    </row>
    <row r="22" spans="1:21" ht="11.25" customHeight="1">
      <c r="A22" s="380"/>
      <c r="B22" s="380"/>
      <c r="C22" s="380"/>
      <c r="D22" s="380"/>
      <c r="E22" s="380"/>
      <c r="F22" s="380"/>
      <c r="G22" s="380"/>
      <c r="H22" s="380"/>
      <c r="I22" s="380"/>
      <c r="J22" s="380"/>
      <c r="K22" s="380"/>
      <c r="L22" s="380"/>
      <c r="M22" s="380"/>
      <c r="N22" s="380"/>
      <c r="O22" s="380"/>
      <c r="P22" s="380"/>
      <c r="Q22" s="380"/>
      <c r="R22" s="380"/>
      <c r="S22" s="380"/>
    </row>
    <row r="23" spans="1:21" ht="11.25" customHeight="1">
      <c r="A23" s="354"/>
      <c r="B23" s="268"/>
      <c r="C23" s="268"/>
      <c r="D23" s="268"/>
      <c r="E23" s="268"/>
      <c r="F23" s="268"/>
      <c r="G23" s="268"/>
      <c r="H23" s="268"/>
      <c r="I23" s="268"/>
      <c r="J23" s="268"/>
      <c r="K23" s="268"/>
      <c r="L23" s="268"/>
      <c r="M23" s="268"/>
      <c r="N23" s="268"/>
      <c r="O23" s="268"/>
      <c r="P23" s="268"/>
      <c r="Q23" s="268"/>
      <c r="R23" s="268"/>
      <c r="S23" s="268"/>
    </row>
    <row r="24" spans="1:21" ht="11.25" customHeight="1">
      <c r="A24" s="380"/>
      <c r="B24" s="380"/>
      <c r="C24" s="380"/>
      <c r="D24" s="380"/>
      <c r="E24" s="380"/>
      <c r="F24" s="380"/>
      <c r="G24" s="380"/>
      <c r="H24" s="380"/>
      <c r="I24" s="380"/>
      <c r="J24" s="380"/>
      <c r="K24" s="380"/>
      <c r="L24" s="380"/>
      <c r="M24" s="380"/>
      <c r="N24" s="380"/>
      <c r="O24" s="380"/>
      <c r="P24" s="380"/>
      <c r="Q24" s="380"/>
      <c r="R24" s="380"/>
      <c r="S24" s="380"/>
    </row>
    <row r="25" spans="1:21" ht="11.25" customHeight="1">
      <c r="A25" s="380"/>
      <c r="B25" s="380"/>
      <c r="C25" s="380"/>
      <c r="D25" s="380"/>
      <c r="E25" s="380"/>
      <c r="F25" s="380"/>
      <c r="G25" s="380"/>
      <c r="H25" s="380"/>
      <c r="I25" s="380"/>
      <c r="J25" s="380"/>
      <c r="K25" s="380"/>
      <c r="L25" s="380"/>
      <c r="M25" s="380"/>
      <c r="N25" s="380"/>
      <c r="O25" s="380"/>
      <c r="P25" s="380"/>
      <c r="Q25" s="380"/>
      <c r="R25" s="380"/>
      <c r="S25" s="380"/>
    </row>
    <row r="26" spans="1:21" ht="11.25" customHeight="1">
      <c r="A26" s="355"/>
      <c r="B26" s="355"/>
      <c r="C26" s="355"/>
      <c r="D26" s="355"/>
      <c r="E26" s="355"/>
      <c r="F26" s="355"/>
      <c r="G26" s="355"/>
      <c r="H26" s="355"/>
      <c r="I26" s="355"/>
      <c r="J26" s="355"/>
      <c r="K26" s="355"/>
      <c r="L26" s="355"/>
      <c r="M26" s="355"/>
      <c r="N26" s="355"/>
      <c r="O26" s="355"/>
      <c r="P26" s="355"/>
      <c r="Q26" s="355"/>
      <c r="R26" s="355"/>
      <c r="S26" s="355"/>
    </row>
    <row r="27" spans="1:21" ht="11.25" customHeight="1">
      <c r="A27" s="354"/>
      <c r="B27" s="268"/>
      <c r="C27" s="268"/>
      <c r="D27" s="268"/>
      <c r="E27" s="268"/>
      <c r="F27" s="268"/>
      <c r="G27" s="268"/>
      <c r="H27" s="268"/>
      <c r="I27" s="268"/>
      <c r="J27" s="268"/>
      <c r="K27" s="268"/>
      <c r="L27" s="268"/>
      <c r="M27" s="268"/>
      <c r="N27" s="268"/>
      <c r="O27" s="268"/>
      <c r="P27" s="268"/>
      <c r="Q27" s="268"/>
      <c r="R27" s="268"/>
      <c r="S27" s="268"/>
    </row>
    <row r="28" spans="1:21" ht="11.25" customHeight="1">
      <c r="A28" s="421"/>
      <c r="B28" s="421"/>
      <c r="C28" s="421"/>
      <c r="D28" s="421"/>
      <c r="E28" s="421"/>
      <c r="F28" s="421"/>
      <c r="G28" s="421"/>
      <c r="H28" s="421"/>
      <c r="I28" s="421"/>
      <c r="J28" s="421"/>
      <c r="K28" s="421"/>
      <c r="L28" s="421"/>
      <c r="M28" s="421"/>
      <c r="N28" s="421"/>
      <c r="O28" s="421"/>
      <c r="P28" s="421"/>
      <c r="Q28" s="421"/>
      <c r="R28" s="421"/>
      <c r="S28" s="421"/>
    </row>
    <row r="29" spans="1:21" ht="11.25" customHeight="1">
      <c r="A29" s="421"/>
      <c r="B29" s="421"/>
      <c r="C29" s="421"/>
      <c r="D29" s="421"/>
      <c r="E29" s="421"/>
      <c r="F29" s="421"/>
      <c r="G29" s="421"/>
      <c r="H29" s="421"/>
      <c r="I29" s="421"/>
      <c r="J29" s="421"/>
      <c r="K29" s="421"/>
      <c r="L29" s="421"/>
      <c r="M29" s="421"/>
      <c r="N29" s="421"/>
      <c r="O29" s="421"/>
      <c r="P29" s="421"/>
      <c r="Q29" s="421"/>
      <c r="R29" s="421"/>
      <c r="S29" s="421"/>
    </row>
    <row r="30" spans="1:21" ht="11.25" customHeight="1">
      <c r="A30" s="421"/>
      <c r="B30" s="421"/>
      <c r="C30" s="421"/>
      <c r="D30" s="421"/>
      <c r="E30" s="421"/>
      <c r="F30" s="421"/>
      <c r="G30" s="421"/>
      <c r="H30" s="421"/>
      <c r="I30" s="421"/>
      <c r="J30" s="421"/>
      <c r="K30" s="421"/>
      <c r="L30" s="421"/>
      <c r="M30" s="421"/>
      <c r="N30" s="421"/>
      <c r="O30" s="421"/>
      <c r="P30" s="421"/>
      <c r="Q30" s="421"/>
      <c r="R30" s="421"/>
      <c r="S30" s="421"/>
    </row>
    <row r="31" spans="1:21" ht="11.25" customHeight="1">
      <c r="A31" s="421"/>
      <c r="B31" s="421"/>
      <c r="C31" s="421"/>
      <c r="D31" s="421"/>
      <c r="E31" s="421"/>
      <c r="F31" s="421"/>
      <c r="G31" s="421"/>
      <c r="H31" s="421"/>
      <c r="I31" s="421"/>
      <c r="J31" s="421"/>
      <c r="K31" s="421"/>
      <c r="L31" s="421"/>
      <c r="M31" s="421"/>
      <c r="N31" s="421"/>
      <c r="O31" s="421"/>
      <c r="P31" s="421"/>
      <c r="Q31" s="421"/>
      <c r="R31" s="421"/>
      <c r="S31" s="421"/>
    </row>
    <row r="32" spans="1:21" ht="11.25" customHeight="1">
      <c r="A32" s="421"/>
      <c r="B32" s="421"/>
      <c r="C32" s="421"/>
      <c r="D32" s="421"/>
      <c r="E32" s="421"/>
      <c r="F32" s="421"/>
      <c r="G32" s="421"/>
      <c r="H32" s="421"/>
      <c r="I32" s="421"/>
      <c r="J32" s="421"/>
      <c r="K32" s="421"/>
      <c r="L32" s="421"/>
      <c r="M32" s="421"/>
      <c r="N32" s="421"/>
      <c r="O32" s="421"/>
      <c r="P32" s="421"/>
      <c r="Q32" s="421"/>
      <c r="R32" s="421"/>
      <c r="S32" s="421"/>
    </row>
    <row r="33" spans="41:41" ht="11.25" customHeight="1"/>
    <row r="34" spans="41:41" ht="11.25" customHeight="1"/>
    <row r="35" spans="41:41" ht="11.25" customHeight="1"/>
    <row r="36" spans="41:41" ht="11.25" customHeight="1"/>
    <row r="37" spans="41:41" ht="11.25" customHeight="1"/>
    <row r="38" spans="41:41" ht="11.25" customHeight="1">
      <c r="AO38" s="356"/>
    </row>
    <row r="39" spans="41:41" ht="11.25" customHeight="1"/>
    <row r="40" spans="41:41" ht="11.25" customHeight="1"/>
    <row r="41" spans="41:41" ht="11.25" customHeight="1"/>
    <row r="42" spans="41:41" ht="11.25" customHeight="1"/>
    <row r="43" spans="41:41" ht="11.25" customHeight="1"/>
    <row r="44" spans="41:41" ht="11.25" customHeight="1"/>
    <row r="45" spans="41:41" ht="11.25" customHeight="1"/>
    <row r="46" spans="41:41" ht="11.25" customHeight="1"/>
    <row r="47" spans="41:41" ht="11.25" customHeight="1"/>
    <row r="48" spans="41:41" ht="11.25" customHeight="1"/>
    <row r="49" spans="3:3" ht="11.25" customHeight="1">
      <c r="C49" s="357"/>
    </row>
    <row r="50" spans="3:3" ht="11.25" customHeight="1">
      <c r="C50" s="358"/>
    </row>
    <row r="51" spans="3:3" ht="11.25" customHeight="1"/>
    <row r="52" spans="3:3" ht="11.25" customHeight="1"/>
    <row r="53" spans="3:3" ht="11.25" customHeight="1"/>
    <row r="54" spans="3:3" ht="11.25" customHeight="1"/>
    <row r="55" spans="3:3" ht="11.25" customHeight="1"/>
    <row r="56" spans="3:3" ht="11.25" customHeight="1"/>
    <row r="57" spans="3:3" ht="11.25" customHeight="1"/>
    <row r="58" spans="3:3" ht="11.25" customHeight="1"/>
    <row r="59" spans="3:3" ht="11.25" customHeight="1"/>
    <row r="60" spans="3:3" ht="11.25" customHeight="1"/>
    <row r="61" spans="3:3" ht="11.25" customHeight="1"/>
    <row r="62" spans="3:3" ht="11.25" customHeight="1"/>
    <row r="63" spans="3:3" ht="11.25" customHeight="1"/>
    <row r="64" spans="3:3"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sheetData>
  <mergeCells count="6">
    <mergeCell ref="A1:S1"/>
    <mergeCell ref="A31:S31"/>
    <mergeCell ref="A32:S32"/>
    <mergeCell ref="A28:S28"/>
    <mergeCell ref="A29:S29"/>
    <mergeCell ref="A30:S30"/>
  </mergeCells>
  <pageMargins left="0.31496062992125984" right="0.31496062992125984" top="0.35433070866141736" bottom="0.35433070866141736" header="0.31496062992125984" footer="0.31496062992125984"/>
  <pageSetup paperSize="9" scale="8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42:A43"/>
  <sheetViews>
    <sheetView zoomScaleNormal="100" workbookViewId="0"/>
  </sheetViews>
  <sheetFormatPr defaultColWidth="9.109375" defaultRowHeight="10.199999999999999"/>
  <cols>
    <col min="1" max="16384" width="9.109375" style="233"/>
  </cols>
  <sheetData>
    <row r="42" spans="1:1" s="231" customFormat="1" ht="15.75" customHeight="1">
      <c r="A42" s="247" t="s">
        <v>1466</v>
      </c>
    </row>
    <row r="43" spans="1:1" s="232" customFormat="1" ht="12.75" customHeight="1"/>
  </sheetData>
  <pageMargins left="0" right="0" top="0.19685039370078741" bottom="0.19685039370078741" header="0" footer="0.31496062992125984"/>
  <pageSetup paperSize="9" scale="93"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42:A43"/>
  <sheetViews>
    <sheetView zoomScaleNormal="100" workbookViewId="0"/>
  </sheetViews>
  <sheetFormatPr defaultColWidth="9.109375" defaultRowHeight="10.199999999999999"/>
  <cols>
    <col min="1" max="16384" width="9.109375" style="233"/>
  </cols>
  <sheetData>
    <row r="42" spans="1:1" s="231" customFormat="1" ht="15.75" customHeight="1">
      <c r="A42" s="247" t="s">
        <v>1465</v>
      </c>
    </row>
    <row r="43" spans="1:1" s="232" customFormat="1" ht="12.75" customHeight="1"/>
  </sheetData>
  <pageMargins left="0" right="0" top="0.19685039370078741" bottom="0.19685039370078741" header="0" footer="0.31496062992125984"/>
  <pageSetup paperSize="9" scale="93"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42:A43"/>
  <sheetViews>
    <sheetView zoomScaleNormal="100" workbookViewId="0"/>
  </sheetViews>
  <sheetFormatPr defaultColWidth="9.109375" defaultRowHeight="10.199999999999999"/>
  <cols>
    <col min="1" max="16384" width="9.109375" style="233"/>
  </cols>
  <sheetData>
    <row r="42" spans="1:1" s="231" customFormat="1" ht="15.75" customHeight="1">
      <c r="A42" s="247" t="s">
        <v>1464</v>
      </c>
    </row>
    <row r="43" spans="1:1" s="232" customFormat="1" ht="12.75" customHeight="1"/>
  </sheetData>
  <pageMargins left="0" right="0" top="0.19685039370078741" bottom="0.19685039370078741" header="0" footer="0.31496062992125984"/>
  <pageSetup paperSize="9" scale="93"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42:A43"/>
  <sheetViews>
    <sheetView zoomScaleNormal="100" workbookViewId="0"/>
  </sheetViews>
  <sheetFormatPr defaultColWidth="9.109375" defaultRowHeight="10.199999999999999"/>
  <cols>
    <col min="1" max="16384" width="9.109375" style="233"/>
  </cols>
  <sheetData>
    <row r="42" spans="1:1" s="231" customFormat="1" ht="15.75" customHeight="1">
      <c r="A42" s="247" t="s">
        <v>1463</v>
      </c>
    </row>
    <row r="43" spans="1:1" s="232" customFormat="1" ht="12.75" customHeight="1"/>
  </sheetData>
  <pageMargins left="0" right="0" top="0.19685039370078741" bottom="0.19685039370078741" header="0" footer="0.31496062992125984"/>
  <pageSetup paperSize="9" scale="93"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42:A43"/>
  <sheetViews>
    <sheetView showWhiteSpace="0" zoomScaleNormal="100" workbookViewId="0"/>
  </sheetViews>
  <sheetFormatPr defaultColWidth="9.109375" defaultRowHeight="10.199999999999999"/>
  <cols>
    <col min="1" max="16384" width="9.109375" style="233"/>
  </cols>
  <sheetData>
    <row r="42" spans="1:1" s="231" customFormat="1" ht="15.75" customHeight="1">
      <c r="A42" s="247" t="s">
        <v>1462</v>
      </c>
    </row>
    <row r="43" spans="1:1" s="232" customFormat="1" ht="12.75" customHeight="1"/>
  </sheetData>
  <pageMargins left="0" right="0" top="0.19685039370078741" bottom="0.19685039370078741" header="0" footer="0.31496062992125984"/>
  <pageSetup paperSize="9" scale="92"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42:A43"/>
  <sheetViews>
    <sheetView zoomScaleNormal="100" workbookViewId="0"/>
  </sheetViews>
  <sheetFormatPr defaultColWidth="9.109375" defaultRowHeight="10.199999999999999"/>
  <cols>
    <col min="1" max="16384" width="9.109375" style="233"/>
  </cols>
  <sheetData>
    <row r="42" spans="1:1" s="231" customFormat="1" ht="15.75" customHeight="1">
      <c r="A42" s="247" t="s">
        <v>1461</v>
      </c>
    </row>
    <row r="43" spans="1:1" s="232" customFormat="1" ht="12.75" customHeight="1"/>
  </sheetData>
  <pageMargins left="0" right="0" top="0.19685039370078741" bottom="0.19685039370078741" header="0" footer="0.31496062992125984"/>
  <pageSetup paperSize="9" scale="93"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42:S49"/>
  <sheetViews>
    <sheetView zoomScaleNormal="100" workbookViewId="0"/>
  </sheetViews>
  <sheetFormatPr defaultColWidth="9.109375" defaultRowHeight="10.199999999999999"/>
  <cols>
    <col min="1" max="16384" width="9.109375" style="233"/>
  </cols>
  <sheetData>
    <row r="42" spans="1:19" s="231" customFormat="1" ht="15.75" customHeight="1">
      <c r="A42" s="247" t="s">
        <v>1460</v>
      </c>
    </row>
    <row r="43" spans="1:19" s="232" customFormat="1" ht="15.75" customHeight="1">
      <c r="A43" s="248" t="s">
        <v>1210</v>
      </c>
    </row>
    <row r="44" spans="1:19" ht="17.399999999999999">
      <c r="A44" s="248" t="s">
        <v>644</v>
      </c>
    </row>
    <row r="46" spans="1:19" ht="48" customHeight="1">
      <c r="A46" s="553" t="s">
        <v>1181</v>
      </c>
      <c r="B46" s="553"/>
      <c r="C46" s="553"/>
      <c r="D46" s="553"/>
      <c r="E46" s="553"/>
      <c r="F46" s="553"/>
      <c r="G46" s="553"/>
      <c r="H46" s="553"/>
      <c r="I46" s="553"/>
      <c r="J46" s="553"/>
      <c r="K46" s="553"/>
      <c r="L46" s="553"/>
      <c r="M46" s="553"/>
      <c r="N46" s="553"/>
      <c r="O46" s="553"/>
      <c r="P46" s="553"/>
      <c r="Q46" s="553"/>
      <c r="R46" s="553"/>
      <c r="S46" s="553"/>
    </row>
    <row r="47" spans="1:19" ht="12">
      <c r="A47" s="400"/>
    </row>
    <row r="48" spans="1:19" ht="17.399999999999999">
      <c r="A48" s="248"/>
    </row>
    <row r="49" spans="1:1" ht="17.399999999999999">
      <c r="A49" s="248"/>
    </row>
  </sheetData>
  <mergeCells count="1">
    <mergeCell ref="A46:S46"/>
  </mergeCells>
  <pageMargins left="0" right="0" top="0.19685039370078741" bottom="0.19685039370078741" header="0" footer="0.31496062992125984"/>
  <pageSetup paperSize="9" scale="83"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42:A43"/>
  <sheetViews>
    <sheetView zoomScaleNormal="100" workbookViewId="0"/>
  </sheetViews>
  <sheetFormatPr defaultColWidth="9.109375" defaultRowHeight="10.199999999999999"/>
  <cols>
    <col min="1" max="16384" width="9.109375" style="233"/>
  </cols>
  <sheetData>
    <row r="42" spans="1:1" s="231" customFormat="1" ht="15.75" customHeight="1">
      <c r="A42" s="247" t="s">
        <v>1459</v>
      </c>
    </row>
    <row r="43" spans="1:1" s="232" customFormat="1" ht="12.75" customHeight="1">
      <c r="A43" s="235"/>
    </row>
  </sheetData>
  <pageMargins left="0" right="0" top="0.19685039370078741" bottom="0.19685039370078741" header="0" footer="0.31496062992125984"/>
  <pageSetup paperSize="9" scale="93"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42:T49"/>
  <sheetViews>
    <sheetView zoomScaleNormal="100" workbookViewId="0"/>
  </sheetViews>
  <sheetFormatPr defaultColWidth="9.109375" defaultRowHeight="10.199999999999999"/>
  <cols>
    <col min="1" max="16384" width="9.109375" style="233"/>
  </cols>
  <sheetData>
    <row r="42" spans="1:20" s="231" customFormat="1" ht="15.75" customHeight="1">
      <c r="A42" s="247" t="s">
        <v>1458</v>
      </c>
    </row>
    <row r="43" spans="1:20" s="232" customFormat="1" ht="15.75" customHeight="1">
      <c r="A43" s="248" t="s">
        <v>1211</v>
      </c>
    </row>
    <row r="44" spans="1:20" ht="15.75" customHeight="1">
      <c r="A44" s="248" t="s">
        <v>644</v>
      </c>
    </row>
    <row r="46" spans="1:20" ht="55.5" customHeight="1">
      <c r="A46" s="554" t="s">
        <v>1180</v>
      </c>
      <c r="B46" s="554"/>
      <c r="C46" s="554"/>
      <c r="D46" s="554"/>
      <c r="E46" s="554"/>
      <c r="F46" s="554"/>
      <c r="G46" s="554"/>
      <c r="H46" s="554"/>
      <c r="I46" s="554"/>
      <c r="J46" s="554"/>
      <c r="K46" s="554"/>
      <c r="L46" s="554"/>
      <c r="M46" s="554"/>
      <c r="N46" s="554"/>
      <c r="O46" s="554"/>
      <c r="P46" s="554"/>
      <c r="Q46" s="554"/>
      <c r="R46" s="554"/>
      <c r="S46" s="554"/>
      <c r="T46" s="554"/>
    </row>
    <row r="47" spans="1:20" ht="12">
      <c r="A47" s="400"/>
    </row>
    <row r="48" spans="1:20" ht="17.399999999999999">
      <c r="A48" s="248"/>
    </row>
    <row r="49" spans="1:1" ht="17.399999999999999">
      <c r="A49" s="248"/>
    </row>
  </sheetData>
  <mergeCells count="1">
    <mergeCell ref="A46:T46"/>
  </mergeCells>
  <pageMargins left="0" right="0" top="0.19685039370078741" bottom="0.19685039370078741" header="0" footer="0.31496062992125984"/>
  <pageSetup paperSize="9" scale="7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42:T49"/>
  <sheetViews>
    <sheetView zoomScaleNormal="100" workbookViewId="0"/>
  </sheetViews>
  <sheetFormatPr defaultColWidth="9.109375" defaultRowHeight="10.199999999999999"/>
  <cols>
    <col min="1" max="16384" width="9.109375" style="233"/>
  </cols>
  <sheetData>
    <row r="42" spans="1:20" s="231" customFormat="1" ht="15.75" customHeight="1">
      <c r="A42" s="247" t="s">
        <v>1457</v>
      </c>
    </row>
    <row r="43" spans="1:20" s="232" customFormat="1" ht="15.75" customHeight="1">
      <c r="A43" s="248" t="s">
        <v>1211</v>
      </c>
    </row>
    <row r="44" spans="1:20" ht="17.399999999999999">
      <c r="A44" s="248" t="s">
        <v>644</v>
      </c>
    </row>
    <row r="45" spans="1:20" ht="6" customHeight="1"/>
    <row r="46" spans="1:20" ht="57.75" customHeight="1">
      <c r="A46" s="554" t="s">
        <v>1180</v>
      </c>
      <c r="B46" s="554"/>
      <c r="C46" s="554"/>
      <c r="D46" s="554"/>
      <c r="E46" s="554"/>
      <c r="F46" s="554"/>
      <c r="G46" s="554"/>
      <c r="H46" s="554"/>
      <c r="I46" s="554"/>
      <c r="J46" s="554"/>
      <c r="K46" s="554"/>
      <c r="L46" s="554"/>
      <c r="M46" s="554"/>
      <c r="N46" s="554"/>
      <c r="O46" s="554"/>
      <c r="P46" s="554"/>
      <c r="Q46" s="554"/>
      <c r="R46" s="554"/>
      <c r="S46" s="554"/>
      <c r="T46" s="554"/>
    </row>
    <row r="47" spans="1:20" ht="17.399999999999999">
      <c r="A47" s="248"/>
    </row>
    <row r="48" spans="1:20" ht="17.399999999999999">
      <c r="A48" s="248"/>
    </row>
    <row r="49" spans="1:1" ht="17.399999999999999">
      <c r="A49" s="248"/>
    </row>
  </sheetData>
  <mergeCells count="1">
    <mergeCell ref="A46:T46"/>
  </mergeCells>
  <pageMargins left="0" right="0" top="0.19685039370078741" bottom="0.19685039370078741" header="0"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17"/>
  <sheetViews>
    <sheetView zoomScaleNormal="100" workbookViewId="0">
      <selection sqref="A1:S1"/>
    </sheetView>
  </sheetViews>
  <sheetFormatPr defaultColWidth="8" defaultRowHeight="18" customHeight="1"/>
  <cols>
    <col min="1" max="1" width="4.88671875" style="273" customWidth="1"/>
    <col min="2" max="2" width="29.5546875" style="273" customWidth="1"/>
    <col min="3" max="19" width="7.109375" style="273" customWidth="1"/>
    <col min="20" max="16384" width="8" style="273"/>
  </cols>
  <sheetData>
    <row r="1" spans="1:21" ht="32.25" customHeight="1">
      <c r="A1" s="422" t="s">
        <v>677</v>
      </c>
      <c r="B1" s="423"/>
      <c r="C1" s="423"/>
      <c r="D1" s="423"/>
      <c r="E1" s="423"/>
      <c r="F1" s="423"/>
      <c r="G1" s="423"/>
      <c r="H1" s="423"/>
      <c r="I1" s="423"/>
      <c r="J1" s="423"/>
      <c r="K1" s="423"/>
      <c r="L1" s="423"/>
      <c r="M1" s="423"/>
      <c r="N1" s="423"/>
      <c r="O1" s="423"/>
      <c r="P1" s="423"/>
      <c r="Q1" s="423"/>
      <c r="R1" s="423"/>
      <c r="S1" s="424"/>
      <c r="U1" s="317"/>
    </row>
    <row r="2" spans="1:21" ht="6" customHeight="1">
      <c r="A2" s="425"/>
      <c r="B2" s="425"/>
      <c r="C2" s="425"/>
      <c r="D2" s="425"/>
      <c r="E2" s="425"/>
      <c r="F2" s="425"/>
      <c r="G2" s="425"/>
      <c r="H2" s="425"/>
      <c r="I2" s="425"/>
      <c r="J2" s="425"/>
      <c r="K2" s="425"/>
    </row>
    <row r="3" spans="1:21" s="265" customFormat="1" ht="15.75" customHeight="1">
      <c r="A3" s="426" t="s">
        <v>724</v>
      </c>
      <c r="B3" s="426"/>
      <c r="C3" s="426"/>
      <c r="D3" s="426"/>
      <c r="E3" s="426"/>
      <c r="F3" s="426"/>
      <c r="G3" s="426"/>
      <c r="H3" s="426"/>
      <c r="I3" s="426"/>
      <c r="J3" s="426"/>
      <c r="K3" s="426"/>
      <c r="L3" s="426"/>
      <c r="M3" s="426"/>
      <c r="N3" s="426"/>
      <c r="O3" s="426"/>
      <c r="P3" s="426"/>
      <c r="Q3" s="426"/>
      <c r="R3" s="426"/>
      <c r="S3" s="426"/>
      <c r="T3" s="266"/>
    </row>
    <row r="4" spans="1:21" ht="6" customHeight="1">
      <c r="A4" s="425"/>
      <c r="B4" s="425"/>
      <c r="C4" s="425"/>
      <c r="D4" s="425"/>
      <c r="E4" s="425"/>
      <c r="F4" s="425"/>
      <c r="G4" s="425"/>
      <c r="H4" s="425"/>
      <c r="I4" s="425"/>
      <c r="J4" s="425"/>
      <c r="K4" s="425"/>
      <c r="L4" s="425"/>
      <c r="M4" s="425"/>
      <c r="N4" s="425"/>
      <c r="O4" s="425"/>
      <c r="P4" s="425"/>
      <c r="Q4" s="425"/>
      <c r="R4" s="425"/>
      <c r="S4" s="425"/>
    </row>
    <row r="5" spans="1:21" s="265" customFormat="1" ht="68.25" customHeight="1">
      <c r="A5" s="427" t="s">
        <v>1437</v>
      </c>
      <c r="B5" s="427"/>
      <c r="C5" s="427"/>
      <c r="D5" s="427"/>
      <c r="E5" s="427"/>
      <c r="F5" s="427"/>
      <c r="G5" s="427"/>
      <c r="H5" s="427"/>
      <c r="I5" s="427"/>
      <c r="J5" s="427"/>
      <c r="K5" s="427"/>
      <c r="L5" s="427"/>
      <c r="M5" s="427"/>
      <c r="N5" s="427"/>
      <c r="O5" s="427"/>
      <c r="P5" s="427"/>
      <c r="Q5" s="427"/>
      <c r="R5" s="427"/>
      <c r="S5" s="427"/>
      <c r="T5" s="266"/>
    </row>
    <row r="6" spans="1:21" ht="6" customHeight="1">
      <c r="A6" s="274"/>
      <c r="B6" s="274"/>
      <c r="C6" s="274"/>
      <c r="D6" s="274"/>
      <c r="E6" s="274"/>
      <c r="F6" s="274"/>
      <c r="G6" s="274"/>
      <c r="H6" s="274"/>
      <c r="I6" s="274"/>
      <c r="J6" s="274"/>
      <c r="K6" s="274"/>
    </row>
    <row r="7" spans="1:21" s="265" customFormat="1" ht="41.25" customHeight="1">
      <c r="A7" s="427" t="s">
        <v>1142</v>
      </c>
      <c r="B7" s="427"/>
      <c r="C7" s="427"/>
      <c r="D7" s="427"/>
      <c r="E7" s="427"/>
      <c r="F7" s="427"/>
      <c r="G7" s="427"/>
      <c r="H7" s="427"/>
      <c r="I7" s="427"/>
      <c r="J7" s="427"/>
      <c r="K7" s="427"/>
      <c r="L7" s="427"/>
      <c r="M7" s="427"/>
      <c r="N7" s="427"/>
      <c r="O7" s="427"/>
      <c r="P7" s="427"/>
      <c r="Q7" s="427"/>
      <c r="R7" s="427"/>
      <c r="S7" s="427"/>
      <c r="T7" s="266"/>
    </row>
    <row r="8" spans="1:21" ht="6" customHeight="1">
      <c r="A8" s="425"/>
      <c r="B8" s="425"/>
      <c r="C8" s="425"/>
      <c r="D8" s="425"/>
      <c r="E8" s="425"/>
      <c r="F8" s="425"/>
      <c r="G8" s="425"/>
      <c r="H8" s="425"/>
      <c r="I8" s="425"/>
      <c r="J8" s="425"/>
      <c r="K8" s="425"/>
      <c r="L8" s="425"/>
      <c r="M8" s="425"/>
      <c r="N8" s="425"/>
      <c r="O8" s="425"/>
      <c r="P8" s="425"/>
      <c r="Q8" s="425"/>
      <c r="R8" s="425"/>
      <c r="S8" s="425"/>
    </row>
    <row r="9" spans="1:21" s="265" customFormat="1" ht="15.75" customHeight="1">
      <c r="A9" s="426" t="s">
        <v>678</v>
      </c>
      <c r="B9" s="426"/>
      <c r="C9" s="426"/>
      <c r="D9" s="426"/>
      <c r="E9" s="426"/>
      <c r="F9" s="426"/>
      <c r="G9" s="426"/>
      <c r="H9" s="426"/>
      <c r="I9" s="426"/>
      <c r="J9" s="426"/>
      <c r="K9" s="426"/>
      <c r="L9" s="426"/>
      <c r="M9" s="426"/>
      <c r="N9" s="426"/>
      <c r="O9" s="426"/>
      <c r="P9" s="426"/>
      <c r="Q9" s="426"/>
      <c r="R9" s="426"/>
      <c r="S9" s="426"/>
      <c r="T9" s="266"/>
    </row>
    <row r="10" spans="1:21" s="265" customFormat="1" ht="6" customHeight="1">
      <c r="A10" s="268"/>
      <c r="B10" s="268"/>
      <c r="C10" s="268"/>
      <c r="D10" s="268"/>
      <c r="E10" s="268"/>
      <c r="F10" s="268"/>
      <c r="G10" s="268"/>
      <c r="H10" s="268"/>
      <c r="I10" s="268"/>
      <c r="J10" s="268"/>
      <c r="K10" s="268"/>
      <c r="L10" s="268"/>
      <c r="M10" s="268"/>
      <c r="N10" s="268"/>
      <c r="O10" s="268"/>
      <c r="P10" s="268"/>
      <c r="Q10" s="268"/>
      <c r="R10" s="268"/>
      <c r="S10" s="268"/>
      <c r="T10" s="266"/>
    </row>
    <row r="11" spans="1:21" s="265" customFormat="1" ht="28.5" customHeight="1">
      <c r="A11" s="427" t="s">
        <v>1141</v>
      </c>
      <c r="B11" s="427"/>
      <c r="C11" s="427"/>
      <c r="D11" s="427"/>
      <c r="E11" s="427"/>
      <c r="F11" s="427"/>
      <c r="G11" s="427"/>
      <c r="H11" s="427"/>
      <c r="I11" s="427"/>
      <c r="J11" s="427"/>
      <c r="K11" s="427"/>
      <c r="L11" s="427"/>
      <c r="M11" s="427"/>
      <c r="N11" s="427"/>
      <c r="O11" s="427"/>
      <c r="P11" s="427"/>
      <c r="Q11" s="427"/>
      <c r="R11" s="427"/>
      <c r="S11" s="427"/>
      <c r="T11" s="266"/>
    </row>
    <row r="12" spans="1:21" s="265" customFormat="1" ht="4.5" customHeight="1">
      <c r="A12" s="268"/>
      <c r="B12" s="268"/>
      <c r="C12" s="268"/>
      <c r="D12" s="268"/>
      <c r="E12" s="268"/>
      <c r="F12" s="268"/>
      <c r="G12" s="268"/>
      <c r="H12" s="268"/>
      <c r="I12" s="268"/>
      <c r="J12" s="268"/>
      <c r="K12" s="268"/>
      <c r="L12" s="268"/>
      <c r="M12" s="268"/>
      <c r="N12" s="268"/>
      <c r="O12" s="268"/>
      <c r="P12" s="268"/>
      <c r="Q12" s="268"/>
      <c r="R12" s="268"/>
      <c r="S12" s="268"/>
      <c r="T12" s="266"/>
    </row>
    <row r="13" spans="1:21" s="265" customFormat="1" ht="14.25" customHeight="1">
      <c r="A13" s="430" t="s">
        <v>679</v>
      </c>
      <c r="B13" s="430"/>
      <c r="C13" s="430"/>
      <c r="D13" s="430"/>
      <c r="E13" s="430"/>
      <c r="F13" s="430"/>
      <c r="G13" s="430"/>
      <c r="H13" s="430"/>
      <c r="I13" s="430"/>
      <c r="J13" s="430"/>
      <c r="K13" s="430"/>
      <c r="L13" s="430"/>
      <c r="M13" s="430"/>
      <c r="N13" s="430"/>
      <c r="O13" s="430"/>
      <c r="P13" s="430"/>
      <c r="Q13" s="430"/>
      <c r="R13" s="430"/>
      <c r="S13" s="430"/>
      <c r="T13" s="266"/>
    </row>
    <row r="14" spans="1:21" s="265" customFormat="1" ht="4.5" customHeight="1">
      <c r="A14" s="267"/>
      <c r="B14" s="268"/>
      <c r="C14" s="268"/>
      <c r="D14" s="268"/>
      <c r="E14" s="268"/>
      <c r="F14" s="268"/>
      <c r="G14" s="268"/>
      <c r="H14" s="268"/>
      <c r="I14" s="268"/>
      <c r="J14" s="268"/>
      <c r="K14" s="268"/>
      <c r="L14" s="268"/>
      <c r="M14" s="268"/>
      <c r="N14" s="268"/>
      <c r="O14" s="268"/>
      <c r="P14" s="268"/>
      <c r="Q14" s="268"/>
      <c r="R14" s="268"/>
      <c r="S14" s="268"/>
      <c r="T14" s="266"/>
    </row>
    <row r="15" spans="1:21" s="265" customFormat="1" ht="14.25" customHeight="1">
      <c r="A15" s="428" t="str">
        <f>A20</f>
        <v xml:space="preserve">1. Sammandrag över järnvägstrafiken i Sverige </v>
      </c>
      <c r="B15" s="428"/>
      <c r="C15" s="428"/>
      <c r="D15" s="428"/>
      <c r="E15" s="428"/>
      <c r="F15" s="428"/>
      <c r="G15" s="428"/>
      <c r="H15" s="428"/>
      <c r="I15" s="428"/>
      <c r="J15" s="428"/>
      <c r="K15" s="428"/>
      <c r="L15" s="428"/>
      <c r="M15" s="428"/>
      <c r="N15" s="428"/>
      <c r="O15" s="428"/>
      <c r="P15" s="428"/>
      <c r="Q15" s="428"/>
      <c r="R15" s="428"/>
      <c r="S15" s="428"/>
      <c r="T15" s="266"/>
    </row>
    <row r="16" spans="1:21" s="265" customFormat="1" ht="14.25" customHeight="1">
      <c r="A16" s="428" t="str">
        <f>A74</f>
        <v>2. Infrastruktur</v>
      </c>
      <c r="B16" s="428"/>
      <c r="C16" s="428"/>
      <c r="D16" s="428"/>
      <c r="E16" s="428"/>
      <c r="F16" s="428"/>
      <c r="G16" s="428"/>
      <c r="H16" s="428"/>
      <c r="I16" s="428"/>
      <c r="J16" s="428"/>
      <c r="K16" s="428"/>
      <c r="L16" s="428"/>
      <c r="M16" s="428"/>
      <c r="N16" s="428"/>
      <c r="O16" s="428"/>
      <c r="P16" s="428"/>
      <c r="Q16" s="428"/>
      <c r="R16" s="428"/>
      <c r="S16" s="428"/>
      <c r="T16" s="266"/>
    </row>
    <row r="17" spans="1:20" s="265" customFormat="1" ht="14.25" customHeight="1">
      <c r="A17" s="428" t="str">
        <f>A185</f>
        <v>3. Fordon</v>
      </c>
      <c r="B17" s="428"/>
      <c r="C17" s="428"/>
      <c r="D17" s="428"/>
      <c r="E17" s="428"/>
      <c r="F17" s="428"/>
      <c r="G17" s="428"/>
      <c r="H17" s="428"/>
      <c r="I17" s="428"/>
      <c r="J17" s="428"/>
      <c r="K17" s="428"/>
      <c r="L17" s="428"/>
      <c r="M17" s="428"/>
      <c r="N17" s="428"/>
      <c r="O17" s="428"/>
      <c r="P17" s="428"/>
      <c r="Q17" s="428"/>
      <c r="R17" s="428"/>
      <c r="S17" s="428"/>
      <c r="T17" s="266"/>
    </row>
    <row r="18" spans="1:20" s="265" customFormat="1" ht="14.25" customHeight="1">
      <c r="A18" s="428" t="str">
        <f>A274</f>
        <v>4. Trafik och transporter</v>
      </c>
      <c r="B18" s="428"/>
      <c r="C18" s="428"/>
      <c r="D18" s="428"/>
      <c r="E18" s="428"/>
      <c r="F18" s="428"/>
      <c r="G18" s="428"/>
      <c r="H18" s="428"/>
      <c r="I18" s="428"/>
      <c r="J18" s="428"/>
      <c r="K18" s="428"/>
      <c r="L18" s="428"/>
      <c r="M18" s="428"/>
      <c r="N18" s="428"/>
      <c r="O18" s="428"/>
      <c r="P18" s="428"/>
      <c r="Q18" s="428"/>
      <c r="R18" s="428"/>
      <c r="S18" s="428"/>
      <c r="T18" s="266"/>
    </row>
    <row r="19" spans="1:20" s="265" customFormat="1" ht="6" customHeight="1">
      <c r="A19" s="267"/>
      <c r="B19" s="268"/>
      <c r="C19" s="268"/>
      <c r="D19" s="268"/>
      <c r="E19" s="268"/>
      <c r="F19" s="268"/>
      <c r="G19" s="268"/>
      <c r="H19" s="268"/>
      <c r="I19" s="268"/>
      <c r="J19" s="268"/>
      <c r="K19" s="268"/>
      <c r="L19" s="268"/>
      <c r="M19" s="268"/>
      <c r="N19" s="268"/>
      <c r="O19" s="268"/>
      <c r="P19" s="268"/>
      <c r="Q19" s="268"/>
      <c r="R19" s="268"/>
      <c r="S19" s="268"/>
      <c r="T19" s="266"/>
    </row>
    <row r="20" spans="1:20" s="265" customFormat="1" ht="24" customHeight="1">
      <c r="A20" s="429" t="s">
        <v>1124</v>
      </c>
      <c r="B20" s="429"/>
      <c r="C20" s="429"/>
      <c r="D20" s="429"/>
      <c r="E20" s="429"/>
      <c r="F20" s="429"/>
      <c r="G20" s="429"/>
      <c r="H20" s="429"/>
      <c r="I20" s="429"/>
      <c r="J20" s="429"/>
      <c r="K20" s="429"/>
      <c r="L20" s="429"/>
      <c r="M20" s="429"/>
      <c r="N20" s="429"/>
      <c r="O20" s="429"/>
      <c r="P20" s="429"/>
      <c r="Q20" s="429"/>
      <c r="R20" s="429"/>
      <c r="S20" s="429"/>
      <c r="T20" s="266"/>
    </row>
    <row r="21" spans="1:20" s="265" customFormat="1" ht="6" customHeight="1">
      <c r="A21" s="268"/>
      <c r="B21" s="268"/>
      <c r="C21" s="268"/>
      <c r="D21" s="268"/>
      <c r="E21" s="268"/>
      <c r="F21" s="268"/>
      <c r="G21" s="268"/>
      <c r="H21" s="268"/>
      <c r="I21" s="268"/>
      <c r="J21" s="268"/>
      <c r="K21" s="268"/>
      <c r="L21" s="268"/>
      <c r="M21" s="268"/>
      <c r="N21" s="268"/>
      <c r="O21" s="268"/>
      <c r="P21" s="268"/>
      <c r="Q21" s="268"/>
      <c r="R21" s="268"/>
      <c r="S21" s="268"/>
      <c r="T21" s="266"/>
    </row>
    <row r="22" spans="1:20" s="265" customFormat="1" ht="28.5" customHeight="1">
      <c r="A22" s="427" t="s">
        <v>1130</v>
      </c>
      <c r="B22" s="427"/>
      <c r="C22" s="427"/>
      <c r="D22" s="427"/>
      <c r="E22" s="427"/>
      <c r="F22" s="427"/>
      <c r="G22" s="427"/>
      <c r="H22" s="427"/>
      <c r="I22" s="427"/>
      <c r="J22" s="427"/>
      <c r="K22" s="427"/>
      <c r="L22" s="427"/>
      <c r="M22" s="427"/>
      <c r="N22" s="427"/>
      <c r="O22" s="427"/>
      <c r="P22" s="427"/>
      <c r="Q22" s="427"/>
      <c r="R22" s="427"/>
      <c r="S22" s="427"/>
      <c r="T22" s="266"/>
    </row>
    <row r="23" spans="1:20" s="265" customFormat="1" ht="6" customHeight="1">
      <c r="A23" s="268"/>
      <c r="B23" s="268"/>
      <c r="C23" s="268"/>
      <c r="D23" s="268"/>
      <c r="E23" s="268"/>
      <c r="F23" s="268"/>
      <c r="G23" s="268"/>
      <c r="H23" s="268"/>
      <c r="I23" s="268"/>
      <c r="J23" s="268"/>
      <c r="K23" s="268"/>
      <c r="L23" s="268"/>
      <c r="M23" s="268"/>
      <c r="N23" s="268"/>
      <c r="O23" s="268"/>
      <c r="P23" s="268"/>
      <c r="Q23" s="268"/>
      <c r="R23" s="268"/>
      <c r="S23" s="268"/>
      <c r="T23" s="266"/>
    </row>
    <row r="24" spans="1:20" s="265" customFormat="1" ht="15.75" customHeight="1">
      <c r="A24" s="426" t="s">
        <v>1201</v>
      </c>
      <c r="B24" s="426"/>
      <c r="C24" s="426"/>
      <c r="D24" s="426"/>
      <c r="E24" s="426"/>
      <c r="F24" s="426"/>
      <c r="G24" s="426"/>
      <c r="H24" s="426"/>
      <c r="I24" s="426"/>
      <c r="J24" s="426"/>
      <c r="K24" s="426"/>
      <c r="L24" s="426"/>
      <c r="M24" s="426"/>
      <c r="N24" s="426"/>
      <c r="O24" s="426"/>
      <c r="P24" s="426"/>
      <c r="Q24" s="426"/>
      <c r="R24" s="426"/>
      <c r="S24" s="426"/>
      <c r="T24" s="266"/>
    </row>
    <row r="25" spans="1:20" s="265" customFormat="1" ht="4.5" customHeight="1">
      <c r="A25" s="268"/>
      <c r="B25" s="268"/>
      <c r="C25" s="268"/>
      <c r="D25" s="268"/>
      <c r="E25" s="268"/>
      <c r="F25" s="268"/>
      <c r="G25" s="268"/>
      <c r="H25" s="268"/>
      <c r="I25" s="268"/>
      <c r="J25" s="268"/>
      <c r="K25" s="268"/>
      <c r="L25" s="268"/>
      <c r="M25" s="268"/>
      <c r="N25" s="268"/>
      <c r="O25" s="268"/>
      <c r="P25" s="268"/>
      <c r="Q25" s="268"/>
      <c r="R25" s="268"/>
      <c r="S25" s="268"/>
      <c r="T25" s="266"/>
    </row>
    <row r="26" spans="1:20" s="265" customFormat="1" ht="119.25" customHeight="1">
      <c r="A26" s="427" t="s">
        <v>789</v>
      </c>
      <c r="B26" s="427"/>
      <c r="C26" s="427"/>
      <c r="D26" s="427"/>
      <c r="E26" s="427"/>
      <c r="F26" s="427"/>
      <c r="G26" s="427"/>
      <c r="H26" s="427"/>
      <c r="I26" s="427"/>
      <c r="J26" s="427"/>
      <c r="K26" s="427"/>
      <c r="L26" s="427"/>
      <c r="M26" s="427"/>
      <c r="N26" s="427"/>
      <c r="O26" s="427"/>
      <c r="P26" s="427"/>
      <c r="Q26" s="427"/>
      <c r="R26" s="427"/>
      <c r="S26" s="427"/>
      <c r="T26" s="266"/>
    </row>
    <row r="27" spans="1:20" s="265" customFormat="1" ht="4.5" customHeight="1">
      <c r="A27" s="268"/>
      <c r="B27" s="268"/>
      <c r="C27" s="268"/>
      <c r="D27" s="268"/>
      <c r="E27" s="268"/>
      <c r="F27" s="268"/>
      <c r="G27" s="268"/>
      <c r="H27" s="268"/>
      <c r="I27" s="268"/>
      <c r="J27" s="268"/>
      <c r="K27" s="268"/>
      <c r="L27" s="268"/>
      <c r="M27" s="268"/>
      <c r="N27" s="268"/>
      <c r="O27" s="268"/>
      <c r="P27" s="268"/>
      <c r="Q27" s="268"/>
      <c r="R27" s="268"/>
      <c r="S27" s="268"/>
      <c r="T27" s="266"/>
    </row>
    <row r="28" spans="1:20" s="265" customFormat="1" ht="66.75" customHeight="1">
      <c r="A28" s="427" t="s">
        <v>790</v>
      </c>
      <c r="B28" s="427"/>
      <c r="C28" s="427"/>
      <c r="D28" s="427"/>
      <c r="E28" s="427"/>
      <c r="F28" s="427"/>
      <c r="G28" s="427"/>
      <c r="H28" s="427"/>
      <c r="I28" s="427"/>
      <c r="J28" s="427"/>
      <c r="K28" s="427"/>
      <c r="L28" s="427"/>
      <c r="M28" s="427"/>
      <c r="N28" s="427"/>
      <c r="O28" s="427"/>
      <c r="P28" s="427"/>
      <c r="Q28" s="427"/>
      <c r="R28" s="427"/>
      <c r="S28" s="427"/>
      <c r="T28" s="266"/>
    </row>
    <row r="29" spans="1:20" s="265" customFormat="1" ht="4.5" customHeight="1">
      <c r="A29" s="268"/>
      <c r="B29" s="268"/>
      <c r="C29" s="268"/>
      <c r="D29" s="268"/>
      <c r="E29" s="268"/>
      <c r="F29" s="268"/>
      <c r="G29" s="268"/>
      <c r="H29" s="268"/>
      <c r="I29" s="268"/>
      <c r="J29" s="268"/>
      <c r="K29" s="268"/>
      <c r="L29" s="268"/>
      <c r="M29" s="268"/>
      <c r="N29" s="268"/>
      <c r="O29" s="268"/>
      <c r="P29" s="268"/>
      <c r="Q29" s="268"/>
      <c r="R29" s="268"/>
      <c r="S29" s="268"/>
      <c r="T29" s="266"/>
    </row>
    <row r="30" spans="1:20" s="265" customFormat="1" ht="15.75" customHeight="1">
      <c r="A30" s="427" t="s">
        <v>680</v>
      </c>
      <c r="B30" s="427"/>
      <c r="C30" s="427"/>
      <c r="D30" s="427"/>
      <c r="E30" s="427"/>
      <c r="F30" s="427"/>
      <c r="G30" s="427"/>
      <c r="H30" s="427"/>
      <c r="I30" s="427"/>
      <c r="J30" s="427"/>
      <c r="K30" s="427"/>
      <c r="L30" s="427"/>
      <c r="M30" s="427"/>
      <c r="N30" s="427"/>
      <c r="O30" s="427"/>
      <c r="P30" s="427"/>
      <c r="Q30" s="427"/>
      <c r="R30" s="427"/>
      <c r="S30" s="427"/>
      <c r="T30" s="266"/>
    </row>
    <row r="31" spans="1:20" s="265" customFormat="1" ht="6" customHeight="1">
      <c r="A31" s="268"/>
      <c r="B31" s="268"/>
      <c r="C31" s="268"/>
      <c r="D31" s="268"/>
      <c r="E31" s="268"/>
      <c r="F31" s="268"/>
      <c r="G31" s="268"/>
      <c r="H31" s="268"/>
      <c r="I31" s="268"/>
      <c r="J31" s="268"/>
      <c r="K31" s="268"/>
      <c r="L31" s="268"/>
      <c r="M31" s="268"/>
      <c r="N31" s="268"/>
      <c r="O31" s="268"/>
      <c r="P31" s="268"/>
      <c r="Q31" s="268"/>
      <c r="R31" s="268"/>
      <c r="S31" s="268"/>
      <c r="T31" s="266"/>
    </row>
    <row r="32" spans="1:20" s="265" customFormat="1" ht="15.75" customHeight="1">
      <c r="A32" s="427" t="s">
        <v>681</v>
      </c>
      <c r="B32" s="427"/>
      <c r="C32" s="427"/>
      <c r="D32" s="427"/>
      <c r="E32" s="427"/>
      <c r="F32" s="427"/>
      <c r="G32" s="427"/>
      <c r="H32" s="427"/>
      <c r="I32" s="427"/>
      <c r="J32" s="427"/>
      <c r="K32" s="427"/>
      <c r="L32" s="427"/>
      <c r="M32" s="427"/>
      <c r="N32" s="427"/>
      <c r="O32" s="427"/>
      <c r="P32" s="427"/>
      <c r="Q32" s="427"/>
      <c r="R32" s="427"/>
      <c r="S32" s="427"/>
      <c r="T32" s="266"/>
    </row>
    <row r="33" spans="1:20" s="265" customFormat="1" ht="4.5" customHeight="1">
      <c r="A33" s="268"/>
      <c r="B33" s="268"/>
      <c r="C33" s="268"/>
      <c r="D33" s="268"/>
      <c r="E33" s="268"/>
      <c r="F33" s="268"/>
      <c r="G33" s="268"/>
      <c r="H33" s="268"/>
      <c r="I33" s="268"/>
      <c r="J33" s="268"/>
      <c r="K33" s="268"/>
      <c r="L33" s="268"/>
      <c r="M33" s="268"/>
      <c r="N33" s="268"/>
      <c r="O33" s="268"/>
      <c r="P33" s="268"/>
      <c r="Q33" s="268"/>
      <c r="R33" s="268"/>
      <c r="S33" s="268"/>
      <c r="T33" s="266"/>
    </row>
    <row r="34" spans="1:20" s="265" customFormat="1" ht="15.75" customHeight="1">
      <c r="A34" s="427" t="s">
        <v>682</v>
      </c>
      <c r="B34" s="427"/>
      <c r="C34" s="427"/>
      <c r="D34" s="427"/>
      <c r="E34" s="427"/>
      <c r="F34" s="427"/>
      <c r="G34" s="427"/>
      <c r="H34" s="427"/>
      <c r="I34" s="427"/>
      <c r="J34" s="427"/>
      <c r="K34" s="427"/>
      <c r="L34" s="427"/>
      <c r="M34" s="427"/>
      <c r="N34" s="427"/>
      <c r="O34" s="427"/>
      <c r="P34" s="427"/>
      <c r="Q34" s="427"/>
      <c r="R34" s="427"/>
      <c r="S34" s="427"/>
      <c r="T34" s="266"/>
    </row>
    <row r="35" spans="1:20" s="265" customFormat="1" ht="4.5" customHeight="1">
      <c r="A35" s="268"/>
      <c r="B35" s="268"/>
      <c r="C35" s="268"/>
      <c r="D35" s="268"/>
      <c r="E35" s="268"/>
      <c r="F35" s="268"/>
      <c r="G35" s="268"/>
      <c r="H35" s="268"/>
      <c r="I35" s="268"/>
      <c r="J35" s="268"/>
      <c r="K35" s="268"/>
      <c r="L35" s="268"/>
      <c r="M35" s="268"/>
      <c r="N35" s="268"/>
      <c r="O35" s="268"/>
      <c r="P35" s="268"/>
      <c r="Q35" s="268"/>
      <c r="R35" s="268"/>
      <c r="S35" s="268"/>
      <c r="T35" s="266"/>
    </row>
    <row r="36" spans="1:20" s="265" customFormat="1" ht="28.5" customHeight="1">
      <c r="A36" s="427" t="s">
        <v>683</v>
      </c>
      <c r="B36" s="427"/>
      <c r="C36" s="427"/>
      <c r="D36" s="427"/>
      <c r="E36" s="427"/>
      <c r="F36" s="427"/>
      <c r="G36" s="427"/>
      <c r="H36" s="427"/>
      <c r="I36" s="427"/>
      <c r="J36" s="427"/>
      <c r="K36" s="427"/>
      <c r="L36" s="427"/>
      <c r="M36" s="427"/>
      <c r="N36" s="427"/>
      <c r="O36" s="427"/>
      <c r="P36" s="427"/>
      <c r="Q36" s="427"/>
      <c r="R36" s="427"/>
      <c r="S36" s="427"/>
      <c r="T36" s="266"/>
    </row>
    <row r="37" spans="1:20" s="265" customFormat="1" ht="6" customHeight="1">
      <c r="A37" s="268"/>
      <c r="B37" s="268"/>
      <c r="C37" s="268"/>
      <c r="D37" s="268"/>
      <c r="E37" s="268"/>
      <c r="F37" s="268"/>
      <c r="G37" s="268"/>
      <c r="H37" s="268"/>
      <c r="I37" s="268"/>
      <c r="J37" s="268"/>
      <c r="K37" s="268"/>
      <c r="L37" s="268"/>
      <c r="M37" s="268"/>
      <c r="N37" s="268"/>
      <c r="O37" s="268"/>
      <c r="P37" s="268"/>
      <c r="Q37" s="268"/>
      <c r="R37" s="268"/>
      <c r="S37" s="268"/>
      <c r="T37" s="266"/>
    </row>
    <row r="38" spans="1:20" s="265" customFormat="1" ht="55.5" customHeight="1">
      <c r="A38" s="427" t="s">
        <v>791</v>
      </c>
      <c r="B38" s="427"/>
      <c r="C38" s="427"/>
      <c r="D38" s="427"/>
      <c r="E38" s="427"/>
      <c r="F38" s="427"/>
      <c r="G38" s="427"/>
      <c r="H38" s="427"/>
      <c r="I38" s="427"/>
      <c r="J38" s="427"/>
      <c r="K38" s="427"/>
      <c r="L38" s="427"/>
      <c r="M38" s="427"/>
      <c r="N38" s="427"/>
      <c r="O38" s="427"/>
      <c r="P38" s="427"/>
      <c r="Q38" s="427"/>
      <c r="R38" s="427"/>
      <c r="S38" s="427"/>
      <c r="T38" s="266"/>
    </row>
    <row r="39" spans="1:20" s="265" customFormat="1" ht="6" customHeight="1">
      <c r="A39" s="268"/>
      <c r="B39" s="268"/>
      <c r="C39" s="268"/>
      <c r="D39" s="268"/>
      <c r="E39" s="268"/>
      <c r="F39" s="268"/>
      <c r="G39" s="268"/>
      <c r="H39" s="268"/>
      <c r="I39" s="268"/>
      <c r="J39" s="268"/>
      <c r="K39" s="268"/>
      <c r="L39" s="268"/>
      <c r="M39" s="268"/>
      <c r="N39" s="268"/>
      <c r="O39" s="268"/>
      <c r="P39" s="268"/>
      <c r="Q39" s="268"/>
      <c r="R39" s="268"/>
      <c r="S39" s="268"/>
      <c r="T39" s="266"/>
    </row>
    <row r="40" spans="1:20" s="265" customFormat="1" ht="129.75" customHeight="1">
      <c r="A40" s="427" t="s">
        <v>792</v>
      </c>
      <c r="B40" s="427"/>
      <c r="C40" s="427"/>
      <c r="D40" s="427"/>
      <c r="E40" s="427"/>
      <c r="F40" s="427"/>
      <c r="G40" s="427"/>
      <c r="H40" s="427"/>
      <c r="I40" s="427"/>
      <c r="J40" s="427"/>
      <c r="K40" s="427"/>
      <c r="L40" s="427"/>
      <c r="M40" s="427"/>
      <c r="N40" s="427"/>
      <c r="O40" s="427"/>
      <c r="P40" s="427"/>
      <c r="Q40" s="427"/>
      <c r="R40" s="427"/>
      <c r="S40" s="427"/>
      <c r="T40" s="266"/>
    </row>
    <row r="41" spans="1:20" s="265" customFormat="1" ht="4.5" customHeight="1">
      <c r="A41" s="268"/>
      <c r="B41" s="268"/>
      <c r="C41" s="268"/>
      <c r="D41" s="268"/>
      <c r="E41" s="268"/>
      <c r="F41" s="268"/>
      <c r="G41" s="268"/>
      <c r="H41" s="268"/>
      <c r="I41" s="268"/>
      <c r="J41" s="268"/>
      <c r="K41" s="268"/>
      <c r="L41" s="268"/>
      <c r="M41" s="268"/>
      <c r="N41" s="268"/>
      <c r="O41" s="268"/>
      <c r="P41" s="268"/>
      <c r="Q41" s="268"/>
      <c r="R41" s="268"/>
      <c r="S41" s="268"/>
      <c r="T41" s="266"/>
    </row>
    <row r="42" spans="1:20" s="265" customFormat="1" ht="41.25" customHeight="1">
      <c r="A42" s="427" t="s">
        <v>1128</v>
      </c>
      <c r="B42" s="427"/>
      <c r="C42" s="427"/>
      <c r="D42" s="427"/>
      <c r="E42" s="427"/>
      <c r="F42" s="427"/>
      <c r="G42" s="427"/>
      <c r="H42" s="427"/>
      <c r="I42" s="427"/>
      <c r="J42" s="427"/>
      <c r="K42" s="427"/>
      <c r="L42" s="427"/>
      <c r="M42" s="427"/>
      <c r="N42" s="427"/>
      <c r="O42" s="427"/>
      <c r="P42" s="427"/>
      <c r="Q42" s="427"/>
      <c r="R42" s="427"/>
      <c r="S42" s="427"/>
      <c r="T42" s="266"/>
    </row>
    <row r="43" spans="1:20" s="265" customFormat="1" ht="4.5" customHeight="1">
      <c r="A43" s="268"/>
      <c r="B43" s="268"/>
      <c r="C43" s="268"/>
      <c r="D43" s="268"/>
      <c r="E43" s="268"/>
      <c r="F43" s="268"/>
      <c r="G43" s="268"/>
      <c r="H43" s="268"/>
      <c r="I43" s="268"/>
      <c r="J43" s="268"/>
      <c r="K43" s="268"/>
      <c r="L43" s="268"/>
      <c r="M43" s="268"/>
      <c r="N43" s="268"/>
      <c r="O43" s="268"/>
      <c r="P43" s="268"/>
      <c r="Q43" s="268"/>
      <c r="R43" s="268"/>
      <c r="S43" s="268"/>
      <c r="T43" s="266"/>
    </row>
    <row r="44" spans="1:20" s="265" customFormat="1" ht="183.75" customHeight="1">
      <c r="A44" s="427" t="s">
        <v>1129</v>
      </c>
      <c r="B44" s="427"/>
      <c r="C44" s="427"/>
      <c r="D44" s="427"/>
      <c r="E44" s="427"/>
      <c r="F44" s="427"/>
      <c r="G44" s="427"/>
      <c r="H44" s="427"/>
      <c r="I44" s="427"/>
      <c r="J44" s="427"/>
      <c r="K44" s="427"/>
      <c r="L44" s="427"/>
      <c r="M44" s="427"/>
      <c r="N44" s="427"/>
      <c r="O44" s="427"/>
      <c r="P44" s="427"/>
      <c r="Q44" s="427"/>
      <c r="R44" s="427"/>
      <c r="S44" s="427"/>
      <c r="T44" s="266"/>
    </row>
    <row r="45" spans="1:20" s="265" customFormat="1" ht="4.5" customHeight="1">
      <c r="A45" s="268"/>
      <c r="B45" s="268"/>
      <c r="C45" s="268"/>
      <c r="D45" s="268"/>
      <c r="E45" s="268"/>
      <c r="F45" s="268"/>
      <c r="G45" s="268"/>
      <c r="H45" s="268"/>
      <c r="I45" s="268"/>
      <c r="J45" s="268"/>
      <c r="K45" s="268"/>
      <c r="L45" s="268"/>
      <c r="M45" s="268"/>
      <c r="N45" s="268"/>
      <c r="O45" s="268"/>
      <c r="P45" s="268"/>
      <c r="Q45" s="268"/>
      <c r="R45" s="268"/>
      <c r="S45" s="268"/>
      <c r="T45" s="266"/>
    </row>
    <row r="46" spans="1:20" s="265" customFormat="1" ht="28.5" customHeight="1">
      <c r="A46" s="427" t="s">
        <v>759</v>
      </c>
      <c r="B46" s="427"/>
      <c r="C46" s="427"/>
      <c r="D46" s="427"/>
      <c r="E46" s="427"/>
      <c r="F46" s="427"/>
      <c r="G46" s="427"/>
      <c r="H46" s="427"/>
      <c r="I46" s="427"/>
      <c r="J46" s="427"/>
      <c r="K46" s="427"/>
      <c r="L46" s="427"/>
      <c r="M46" s="427"/>
      <c r="N46" s="427"/>
      <c r="O46" s="427"/>
      <c r="P46" s="427"/>
      <c r="Q46" s="427"/>
      <c r="R46" s="427"/>
      <c r="S46" s="427"/>
      <c r="T46" s="266"/>
    </row>
    <row r="47" spans="1:20" s="265" customFormat="1" ht="4.5" customHeight="1">
      <c r="A47" s="268"/>
      <c r="B47" s="268"/>
      <c r="C47" s="268"/>
      <c r="D47" s="268"/>
      <c r="E47" s="268"/>
      <c r="F47" s="268"/>
      <c r="G47" s="268"/>
      <c r="H47" s="268"/>
      <c r="I47" s="268"/>
      <c r="J47" s="268"/>
      <c r="K47" s="268"/>
      <c r="L47" s="268"/>
      <c r="M47" s="268"/>
      <c r="N47" s="268"/>
      <c r="O47" s="268"/>
      <c r="P47" s="268"/>
      <c r="Q47" s="268"/>
      <c r="R47" s="268"/>
      <c r="S47" s="268"/>
      <c r="T47" s="266"/>
    </row>
    <row r="48" spans="1:20" s="265" customFormat="1" ht="15.75" customHeight="1">
      <c r="A48" s="427" t="s">
        <v>767</v>
      </c>
      <c r="B48" s="427"/>
      <c r="C48" s="427"/>
      <c r="D48" s="427"/>
      <c r="E48" s="427"/>
      <c r="F48" s="427"/>
      <c r="G48" s="427"/>
      <c r="H48" s="427"/>
      <c r="I48" s="427"/>
      <c r="J48" s="427"/>
      <c r="K48" s="427"/>
      <c r="L48" s="427"/>
      <c r="M48" s="427"/>
      <c r="N48" s="427"/>
      <c r="O48" s="427"/>
      <c r="P48" s="427"/>
      <c r="Q48" s="427"/>
      <c r="R48" s="427"/>
      <c r="S48" s="427"/>
      <c r="T48" s="266"/>
    </row>
    <row r="49" spans="1:20" s="265" customFormat="1" ht="4.5" customHeight="1">
      <c r="A49" s="268"/>
      <c r="B49" s="268"/>
      <c r="C49" s="268"/>
      <c r="D49" s="268"/>
      <c r="E49" s="268"/>
      <c r="F49" s="268"/>
      <c r="G49" s="268"/>
      <c r="H49" s="268"/>
      <c r="I49" s="268"/>
      <c r="J49" s="268"/>
      <c r="K49" s="268"/>
      <c r="L49" s="268"/>
      <c r="M49" s="268"/>
      <c r="N49" s="268"/>
      <c r="O49" s="268"/>
      <c r="P49" s="268"/>
      <c r="Q49" s="268"/>
      <c r="R49" s="268"/>
      <c r="S49" s="268"/>
      <c r="T49" s="266"/>
    </row>
    <row r="50" spans="1:20" s="265" customFormat="1" ht="15.75" customHeight="1">
      <c r="A50" s="427" t="s">
        <v>769</v>
      </c>
      <c r="B50" s="427"/>
      <c r="C50" s="427"/>
      <c r="D50" s="427"/>
      <c r="E50" s="427"/>
      <c r="F50" s="427"/>
      <c r="G50" s="427"/>
      <c r="H50" s="427"/>
      <c r="I50" s="427"/>
      <c r="J50" s="427"/>
      <c r="K50" s="427"/>
      <c r="L50" s="427"/>
      <c r="M50" s="427"/>
      <c r="N50" s="427"/>
      <c r="O50" s="427"/>
      <c r="P50" s="427"/>
      <c r="Q50" s="427"/>
      <c r="R50" s="427"/>
      <c r="S50" s="427"/>
      <c r="T50" s="266"/>
    </row>
    <row r="51" spans="1:20" s="265" customFormat="1" ht="4.5" customHeight="1">
      <c r="A51" s="268"/>
      <c r="B51" s="268"/>
      <c r="C51" s="268"/>
      <c r="D51" s="268"/>
      <c r="E51" s="268"/>
      <c r="F51" s="268"/>
      <c r="G51" s="268"/>
      <c r="H51" s="268"/>
      <c r="I51" s="268"/>
      <c r="J51" s="268"/>
      <c r="K51" s="268"/>
      <c r="L51" s="268"/>
      <c r="M51" s="268"/>
      <c r="N51" s="268"/>
      <c r="O51" s="268"/>
      <c r="P51" s="268"/>
      <c r="Q51" s="268"/>
      <c r="R51" s="268"/>
      <c r="S51" s="268"/>
      <c r="T51" s="266"/>
    </row>
    <row r="52" spans="1:20" s="265" customFormat="1" ht="15.75" customHeight="1">
      <c r="A52" s="427" t="s">
        <v>770</v>
      </c>
      <c r="B52" s="427"/>
      <c r="C52" s="427"/>
      <c r="D52" s="427"/>
      <c r="E52" s="427"/>
      <c r="F52" s="427"/>
      <c r="G52" s="427"/>
      <c r="H52" s="427"/>
      <c r="I52" s="427"/>
      <c r="J52" s="427"/>
      <c r="K52" s="427"/>
      <c r="L52" s="427"/>
      <c r="M52" s="427"/>
      <c r="N52" s="427"/>
      <c r="O52" s="427"/>
      <c r="P52" s="427"/>
      <c r="Q52" s="427"/>
      <c r="R52" s="427"/>
      <c r="S52" s="427"/>
      <c r="T52" s="266"/>
    </row>
    <row r="53" spans="1:20" s="265" customFormat="1" ht="4.5" customHeight="1">
      <c r="A53" s="268"/>
      <c r="B53" s="268"/>
      <c r="C53" s="268"/>
      <c r="D53" s="268"/>
      <c r="E53" s="268"/>
      <c r="F53" s="268"/>
      <c r="G53" s="268"/>
      <c r="H53" s="268"/>
      <c r="I53" s="268"/>
      <c r="J53" s="268"/>
      <c r="K53" s="268"/>
      <c r="L53" s="268"/>
      <c r="M53" s="268"/>
      <c r="N53" s="268"/>
      <c r="O53" s="268"/>
      <c r="P53" s="268"/>
      <c r="Q53" s="268"/>
      <c r="R53" s="268"/>
      <c r="S53" s="268"/>
      <c r="T53" s="266"/>
    </row>
    <row r="54" spans="1:20" s="265" customFormat="1" ht="28.5" customHeight="1">
      <c r="A54" s="427" t="s">
        <v>793</v>
      </c>
      <c r="B54" s="427"/>
      <c r="C54" s="427"/>
      <c r="D54" s="427"/>
      <c r="E54" s="427"/>
      <c r="F54" s="427"/>
      <c r="G54" s="427"/>
      <c r="H54" s="427"/>
      <c r="I54" s="427"/>
      <c r="J54" s="427"/>
      <c r="K54" s="427"/>
      <c r="L54" s="427"/>
      <c r="M54" s="427"/>
      <c r="N54" s="427"/>
      <c r="O54" s="427"/>
      <c r="P54" s="427"/>
      <c r="Q54" s="427"/>
      <c r="R54" s="427"/>
      <c r="S54" s="427"/>
      <c r="T54" s="266"/>
    </row>
    <row r="55" spans="1:20" s="265" customFormat="1" ht="4.5" customHeight="1">
      <c r="A55" s="268"/>
      <c r="B55" s="268"/>
      <c r="C55" s="268"/>
      <c r="D55" s="268"/>
      <c r="E55" s="268"/>
      <c r="F55" s="268"/>
      <c r="G55" s="268"/>
      <c r="H55" s="268"/>
      <c r="I55" s="268"/>
      <c r="J55" s="268"/>
      <c r="K55" s="268"/>
      <c r="L55" s="268"/>
      <c r="M55" s="268"/>
      <c r="N55" s="268"/>
      <c r="O55" s="268"/>
      <c r="P55" s="268"/>
      <c r="Q55" s="268"/>
      <c r="R55" s="268"/>
      <c r="S55" s="268"/>
      <c r="T55" s="266"/>
    </row>
    <row r="56" spans="1:20" s="265" customFormat="1" ht="28.5" customHeight="1">
      <c r="A56" s="427" t="s">
        <v>738</v>
      </c>
      <c r="B56" s="427"/>
      <c r="C56" s="427"/>
      <c r="D56" s="427"/>
      <c r="E56" s="427"/>
      <c r="F56" s="427"/>
      <c r="G56" s="427"/>
      <c r="H56" s="427"/>
      <c r="I56" s="427"/>
      <c r="J56" s="427"/>
      <c r="K56" s="427"/>
      <c r="L56" s="427"/>
      <c r="M56" s="427"/>
      <c r="N56" s="427"/>
      <c r="O56" s="427"/>
      <c r="P56" s="427"/>
      <c r="Q56" s="427"/>
      <c r="R56" s="427"/>
      <c r="S56" s="427"/>
      <c r="T56" s="266"/>
    </row>
    <row r="57" spans="1:20" s="265" customFormat="1" ht="4.5" customHeight="1">
      <c r="A57" s="268"/>
      <c r="B57" s="268"/>
      <c r="C57" s="268"/>
      <c r="D57" s="268"/>
      <c r="E57" s="268"/>
      <c r="F57" s="268"/>
      <c r="G57" s="268"/>
      <c r="H57" s="268"/>
      <c r="I57" s="268"/>
      <c r="J57" s="268"/>
      <c r="K57" s="268"/>
      <c r="L57" s="268"/>
      <c r="M57" s="268"/>
      <c r="N57" s="268"/>
      <c r="O57" s="268"/>
      <c r="P57" s="268"/>
      <c r="Q57" s="268"/>
      <c r="R57" s="268"/>
      <c r="S57" s="268"/>
      <c r="T57" s="266"/>
    </row>
    <row r="58" spans="1:20" s="265" customFormat="1" ht="41.25" customHeight="1">
      <c r="A58" s="427" t="s">
        <v>725</v>
      </c>
      <c r="B58" s="427"/>
      <c r="C58" s="427"/>
      <c r="D58" s="427"/>
      <c r="E58" s="427"/>
      <c r="F58" s="427"/>
      <c r="G58" s="427"/>
      <c r="H58" s="427"/>
      <c r="I58" s="427"/>
      <c r="J58" s="427"/>
      <c r="K58" s="427"/>
      <c r="L58" s="427"/>
      <c r="M58" s="427"/>
      <c r="N58" s="427"/>
      <c r="O58" s="427"/>
      <c r="P58" s="427"/>
      <c r="Q58" s="427"/>
      <c r="R58" s="427"/>
      <c r="S58" s="427"/>
      <c r="T58" s="266"/>
    </row>
    <row r="59" spans="1:20" s="265" customFormat="1" ht="4.5" customHeight="1">
      <c r="A59" s="268"/>
      <c r="B59" s="268"/>
      <c r="C59" s="268"/>
      <c r="D59" s="268"/>
      <c r="E59" s="268"/>
      <c r="F59" s="268"/>
      <c r="G59" s="268"/>
      <c r="H59" s="268"/>
      <c r="I59" s="268"/>
      <c r="J59" s="268"/>
      <c r="K59" s="268"/>
      <c r="L59" s="268"/>
      <c r="M59" s="268"/>
      <c r="N59" s="268"/>
      <c r="O59" s="268"/>
      <c r="P59" s="268"/>
      <c r="Q59" s="268"/>
      <c r="R59" s="268"/>
      <c r="S59" s="268"/>
      <c r="T59" s="266"/>
    </row>
    <row r="60" spans="1:20" s="265" customFormat="1" ht="15.75" customHeight="1">
      <c r="A60" s="427" t="s">
        <v>771</v>
      </c>
      <c r="B60" s="427"/>
      <c r="C60" s="427"/>
      <c r="D60" s="427"/>
      <c r="E60" s="427"/>
      <c r="F60" s="427"/>
      <c r="G60" s="427"/>
      <c r="H60" s="427"/>
      <c r="I60" s="427"/>
      <c r="J60" s="427"/>
      <c r="K60" s="427"/>
      <c r="L60" s="427"/>
      <c r="M60" s="427"/>
      <c r="N60" s="427"/>
      <c r="O60" s="427"/>
      <c r="P60" s="427"/>
      <c r="Q60" s="427"/>
      <c r="R60" s="427"/>
      <c r="S60" s="427"/>
      <c r="T60" s="266"/>
    </row>
    <row r="61" spans="1:20" s="265" customFormat="1" ht="4.5" customHeight="1">
      <c r="A61" s="268"/>
      <c r="B61" s="268"/>
      <c r="C61" s="268"/>
      <c r="D61" s="268"/>
      <c r="E61" s="268"/>
      <c r="F61" s="268"/>
      <c r="G61" s="268"/>
      <c r="H61" s="268"/>
      <c r="I61" s="268"/>
      <c r="J61" s="268"/>
      <c r="K61" s="268"/>
      <c r="L61" s="268"/>
      <c r="M61" s="268"/>
      <c r="N61" s="268"/>
      <c r="O61" s="268"/>
      <c r="P61" s="268"/>
      <c r="Q61" s="268"/>
      <c r="R61" s="268"/>
      <c r="S61" s="268"/>
      <c r="T61" s="266"/>
    </row>
    <row r="62" spans="1:20" s="265" customFormat="1" ht="118.5" customHeight="1">
      <c r="A62" s="427" t="s">
        <v>1417</v>
      </c>
      <c r="B62" s="427"/>
      <c r="C62" s="427"/>
      <c r="D62" s="427"/>
      <c r="E62" s="427"/>
      <c r="F62" s="427"/>
      <c r="G62" s="427"/>
      <c r="H62" s="427"/>
      <c r="I62" s="427"/>
      <c r="J62" s="427"/>
      <c r="K62" s="427"/>
      <c r="L62" s="427"/>
      <c r="M62" s="427"/>
      <c r="N62" s="427"/>
      <c r="O62" s="427"/>
      <c r="P62" s="427"/>
      <c r="Q62" s="427"/>
      <c r="R62" s="427"/>
      <c r="S62" s="427"/>
      <c r="T62" s="266"/>
    </row>
    <row r="63" spans="1:20" s="265" customFormat="1" ht="4.5" customHeight="1">
      <c r="A63" s="268"/>
      <c r="B63" s="268"/>
      <c r="C63" s="268"/>
      <c r="D63" s="268"/>
      <c r="E63" s="268"/>
      <c r="F63" s="268"/>
      <c r="G63" s="268"/>
      <c r="H63" s="268"/>
      <c r="I63" s="268"/>
      <c r="J63" s="268"/>
      <c r="K63" s="268"/>
      <c r="L63" s="268"/>
      <c r="M63" s="268"/>
      <c r="N63" s="268"/>
      <c r="O63" s="268"/>
      <c r="P63" s="268"/>
      <c r="Q63" s="268"/>
      <c r="R63" s="268"/>
      <c r="S63" s="268"/>
      <c r="T63" s="266"/>
    </row>
    <row r="64" spans="1:20" s="265" customFormat="1" ht="66.75" customHeight="1">
      <c r="A64" s="427" t="s">
        <v>794</v>
      </c>
      <c r="B64" s="427"/>
      <c r="C64" s="427"/>
      <c r="D64" s="427"/>
      <c r="E64" s="427"/>
      <c r="F64" s="427"/>
      <c r="G64" s="427"/>
      <c r="H64" s="427"/>
      <c r="I64" s="427"/>
      <c r="J64" s="427"/>
      <c r="K64" s="427"/>
      <c r="L64" s="427"/>
      <c r="M64" s="427"/>
      <c r="N64" s="427"/>
      <c r="O64" s="427"/>
      <c r="P64" s="427"/>
      <c r="Q64" s="427"/>
      <c r="R64" s="427"/>
      <c r="S64" s="427"/>
      <c r="T64" s="266"/>
    </row>
    <row r="65" spans="1:20" s="265" customFormat="1" ht="4.5" customHeight="1">
      <c r="A65" s="268"/>
      <c r="B65" s="268"/>
      <c r="C65" s="268"/>
      <c r="D65" s="268"/>
      <c r="E65" s="268"/>
      <c r="F65" s="268"/>
      <c r="G65" s="268"/>
      <c r="H65" s="268"/>
      <c r="I65" s="268"/>
      <c r="J65" s="268"/>
      <c r="K65" s="268"/>
      <c r="L65" s="268"/>
      <c r="M65" s="268"/>
      <c r="N65" s="268"/>
      <c r="O65" s="268"/>
      <c r="P65" s="268"/>
      <c r="Q65" s="268"/>
      <c r="R65" s="268"/>
      <c r="S65" s="268"/>
      <c r="T65" s="266"/>
    </row>
    <row r="66" spans="1:20" s="265" customFormat="1" ht="66" customHeight="1">
      <c r="A66" s="427" t="s">
        <v>1418</v>
      </c>
      <c r="B66" s="427"/>
      <c r="C66" s="427"/>
      <c r="D66" s="427"/>
      <c r="E66" s="427"/>
      <c r="F66" s="427"/>
      <c r="G66" s="427"/>
      <c r="H66" s="427"/>
      <c r="I66" s="427"/>
      <c r="J66" s="427"/>
      <c r="K66" s="427"/>
      <c r="L66" s="427"/>
      <c r="M66" s="427"/>
      <c r="N66" s="427"/>
      <c r="O66" s="427"/>
      <c r="P66" s="427"/>
      <c r="Q66" s="427"/>
      <c r="R66" s="427"/>
      <c r="S66" s="427"/>
      <c r="T66" s="266"/>
    </row>
    <row r="67" spans="1:20" s="265" customFormat="1" ht="4.5" customHeight="1">
      <c r="A67" s="268"/>
      <c r="B67" s="268"/>
      <c r="C67" s="268"/>
      <c r="D67" s="268"/>
      <c r="E67" s="268"/>
      <c r="F67" s="268"/>
      <c r="G67" s="268"/>
      <c r="H67" s="268"/>
      <c r="I67" s="268"/>
      <c r="J67" s="268"/>
      <c r="K67" s="268"/>
      <c r="L67" s="268"/>
      <c r="M67" s="268"/>
      <c r="N67" s="268"/>
      <c r="O67" s="268"/>
      <c r="P67" s="268"/>
      <c r="Q67" s="268"/>
      <c r="R67" s="268"/>
      <c r="S67" s="268"/>
      <c r="T67" s="266"/>
    </row>
    <row r="68" spans="1:20" s="265" customFormat="1" ht="15.75" customHeight="1">
      <c r="A68" s="427" t="s">
        <v>743</v>
      </c>
      <c r="B68" s="427"/>
      <c r="C68" s="427"/>
      <c r="D68" s="427"/>
      <c r="E68" s="427"/>
      <c r="F68" s="427"/>
      <c r="G68" s="427"/>
      <c r="H68" s="427"/>
      <c r="I68" s="427"/>
      <c r="J68" s="427"/>
      <c r="K68" s="427"/>
      <c r="L68" s="427"/>
      <c r="M68" s="427"/>
      <c r="N68" s="427"/>
      <c r="O68" s="427"/>
      <c r="P68" s="427"/>
      <c r="Q68" s="427"/>
      <c r="R68" s="427"/>
      <c r="S68" s="427"/>
      <c r="T68" s="266"/>
    </row>
    <row r="69" spans="1:20" s="265" customFormat="1" ht="4.5" customHeight="1">
      <c r="A69" s="268"/>
      <c r="B69" s="268"/>
      <c r="C69" s="268"/>
      <c r="D69" s="268"/>
      <c r="E69" s="268"/>
      <c r="F69" s="268"/>
      <c r="G69" s="268"/>
      <c r="H69" s="268"/>
      <c r="I69" s="268"/>
      <c r="J69" s="268"/>
      <c r="K69" s="268"/>
      <c r="L69" s="268"/>
      <c r="M69" s="268"/>
      <c r="N69" s="268"/>
      <c r="O69" s="268"/>
      <c r="P69" s="268"/>
      <c r="Q69" s="268"/>
      <c r="R69" s="268"/>
      <c r="S69" s="268"/>
      <c r="T69" s="266"/>
    </row>
    <row r="70" spans="1:20" s="265" customFormat="1" ht="15.75" customHeight="1">
      <c r="A70" s="427" t="s">
        <v>684</v>
      </c>
      <c r="B70" s="427"/>
      <c r="C70" s="427"/>
      <c r="D70" s="427"/>
      <c r="E70" s="427"/>
      <c r="F70" s="427"/>
      <c r="G70" s="427"/>
      <c r="H70" s="427"/>
      <c r="I70" s="427"/>
      <c r="J70" s="427"/>
      <c r="K70" s="427"/>
      <c r="L70" s="427"/>
      <c r="M70" s="427"/>
      <c r="N70" s="427"/>
      <c r="O70" s="427"/>
      <c r="P70" s="427"/>
      <c r="Q70" s="427"/>
      <c r="R70" s="427"/>
      <c r="S70" s="427"/>
      <c r="T70" s="266"/>
    </row>
    <row r="71" spans="1:20" s="265" customFormat="1" ht="4.5" customHeight="1">
      <c r="A71" s="268"/>
      <c r="B71" s="268"/>
      <c r="C71" s="268"/>
      <c r="D71" s="268"/>
      <c r="E71" s="268"/>
      <c r="F71" s="268"/>
      <c r="G71" s="268"/>
      <c r="H71" s="268"/>
      <c r="I71" s="268"/>
      <c r="J71" s="268"/>
      <c r="K71" s="268"/>
      <c r="L71" s="268"/>
      <c r="M71" s="268"/>
      <c r="N71" s="268"/>
      <c r="O71" s="268"/>
      <c r="P71" s="268"/>
      <c r="Q71" s="268"/>
      <c r="R71" s="268"/>
      <c r="S71" s="268"/>
      <c r="T71" s="266"/>
    </row>
    <row r="72" spans="1:20" s="265" customFormat="1" ht="15.75" customHeight="1">
      <c r="A72" s="427" t="s">
        <v>685</v>
      </c>
      <c r="B72" s="427"/>
      <c r="C72" s="427"/>
      <c r="D72" s="427"/>
      <c r="E72" s="427"/>
      <c r="F72" s="427"/>
      <c r="G72" s="427"/>
      <c r="H72" s="427"/>
      <c r="I72" s="427"/>
      <c r="J72" s="427"/>
      <c r="K72" s="427"/>
      <c r="L72" s="427"/>
      <c r="M72" s="427"/>
      <c r="N72" s="427"/>
      <c r="O72" s="427"/>
      <c r="P72" s="427"/>
      <c r="Q72" s="427"/>
      <c r="R72" s="427"/>
      <c r="S72" s="427"/>
      <c r="T72" s="266"/>
    </row>
    <row r="73" spans="1:20" s="265" customFormat="1" ht="4.5" customHeight="1">
      <c r="A73" s="268"/>
      <c r="B73" s="268"/>
      <c r="C73" s="268"/>
      <c r="D73" s="268"/>
      <c r="E73" s="268"/>
      <c r="F73" s="268"/>
      <c r="G73" s="268"/>
      <c r="H73" s="268"/>
      <c r="I73" s="268"/>
      <c r="J73" s="268"/>
      <c r="K73" s="268"/>
      <c r="L73" s="268"/>
      <c r="M73" s="268"/>
      <c r="N73" s="268"/>
      <c r="O73" s="268"/>
      <c r="P73" s="268"/>
      <c r="Q73" s="268"/>
      <c r="R73" s="268"/>
      <c r="S73" s="268"/>
      <c r="T73" s="266"/>
    </row>
    <row r="74" spans="1:20" s="265" customFormat="1" ht="24" customHeight="1">
      <c r="A74" s="431" t="s">
        <v>1125</v>
      </c>
      <c r="B74" s="431"/>
      <c r="C74" s="431"/>
      <c r="D74" s="431"/>
      <c r="E74" s="431"/>
      <c r="F74" s="431"/>
      <c r="G74" s="431"/>
      <c r="H74" s="431"/>
      <c r="I74" s="431"/>
      <c r="J74" s="431"/>
      <c r="K74" s="431"/>
      <c r="L74" s="431"/>
      <c r="M74" s="431"/>
      <c r="N74" s="431"/>
      <c r="O74" s="431"/>
      <c r="P74" s="431"/>
      <c r="Q74" s="431"/>
      <c r="R74" s="431"/>
      <c r="S74" s="431"/>
      <c r="T74" s="266"/>
    </row>
    <row r="75" spans="1:20" s="265" customFormat="1" ht="4.5" customHeight="1">
      <c r="A75" s="268"/>
      <c r="B75" s="268"/>
      <c r="C75" s="268"/>
      <c r="D75" s="268"/>
      <c r="E75" s="268"/>
      <c r="F75" s="268"/>
      <c r="G75" s="268"/>
      <c r="H75" s="268"/>
      <c r="I75" s="268"/>
      <c r="J75" s="268"/>
      <c r="K75" s="268"/>
      <c r="L75" s="268"/>
      <c r="M75" s="268"/>
      <c r="N75" s="268"/>
      <c r="O75" s="268"/>
      <c r="P75" s="268"/>
      <c r="Q75" s="268"/>
      <c r="R75" s="268"/>
      <c r="S75" s="268"/>
      <c r="T75" s="266"/>
    </row>
    <row r="76" spans="1:20" s="265" customFormat="1" ht="93" customHeight="1">
      <c r="A76" s="427" t="s">
        <v>1436</v>
      </c>
      <c r="B76" s="427"/>
      <c r="C76" s="427"/>
      <c r="D76" s="427"/>
      <c r="E76" s="427"/>
      <c r="F76" s="427"/>
      <c r="G76" s="427"/>
      <c r="H76" s="427"/>
      <c r="I76" s="427"/>
      <c r="J76" s="427"/>
      <c r="K76" s="427"/>
      <c r="L76" s="427"/>
      <c r="M76" s="427"/>
      <c r="N76" s="427"/>
      <c r="O76" s="427"/>
      <c r="P76" s="427"/>
      <c r="Q76" s="427"/>
      <c r="R76" s="427"/>
      <c r="S76" s="427"/>
      <c r="T76" s="266"/>
    </row>
    <row r="77" spans="1:20" s="265" customFormat="1" ht="4.5" customHeight="1">
      <c r="A77" s="268"/>
      <c r="B77" s="268"/>
      <c r="C77" s="268"/>
      <c r="D77" s="268"/>
      <c r="E77" s="268"/>
      <c r="F77" s="268"/>
      <c r="G77" s="268"/>
      <c r="H77" s="268"/>
      <c r="I77" s="268"/>
      <c r="J77" s="268"/>
      <c r="K77" s="268"/>
      <c r="L77" s="268"/>
      <c r="M77" s="268"/>
      <c r="N77" s="268"/>
      <c r="O77" s="268"/>
      <c r="P77" s="268"/>
      <c r="Q77" s="268"/>
      <c r="R77" s="268"/>
      <c r="S77" s="268"/>
      <c r="T77" s="266"/>
    </row>
    <row r="78" spans="1:20" s="265" customFormat="1" ht="15.75" customHeight="1">
      <c r="A78" s="432" t="str">
        <f>'Tabell 2.1–2.2'!B1</f>
        <v>Tabell 2.1. Infrastruktur och investeringar – Järnvägar.</v>
      </c>
      <c r="B78" s="432"/>
      <c r="C78" s="432"/>
      <c r="D78" s="432"/>
      <c r="E78" s="432"/>
      <c r="F78" s="432"/>
      <c r="G78" s="432"/>
      <c r="H78" s="432"/>
      <c r="I78" s="432"/>
      <c r="J78" s="432"/>
      <c r="K78" s="432"/>
      <c r="L78" s="432"/>
      <c r="M78" s="432"/>
      <c r="N78" s="432"/>
      <c r="O78" s="432"/>
      <c r="P78" s="432"/>
      <c r="Q78" s="432"/>
      <c r="R78" s="432"/>
      <c r="S78" s="432"/>
      <c r="T78" s="266"/>
    </row>
    <row r="79" spans="1:20" s="265" customFormat="1" ht="5.25" customHeight="1">
      <c r="A79" s="268"/>
      <c r="B79" s="268"/>
      <c r="C79" s="268"/>
      <c r="D79" s="268"/>
      <c r="E79" s="268"/>
      <c r="F79" s="268"/>
      <c r="G79" s="268"/>
      <c r="H79" s="268"/>
      <c r="I79" s="268"/>
      <c r="J79" s="268"/>
      <c r="K79" s="268"/>
      <c r="L79" s="268"/>
      <c r="M79" s="268"/>
      <c r="N79" s="268"/>
      <c r="O79" s="268"/>
      <c r="P79" s="268"/>
      <c r="Q79" s="268"/>
      <c r="R79" s="268"/>
      <c r="S79" s="268"/>
      <c r="T79" s="266"/>
    </row>
    <row r="80" spans="1:20" s="265" customFormat="1" ht="15.75" customHeight="1">
      <c r="A80" s="427" t="s">
        <v>757</v>
      </c>
      <c r="B80" s="427"/>
      <c r="C80" s="427"/>
      <c r="D80" s="427"/>
      <c r="E80" s="427"/>
      <c r="F80" s="427"/>
      <c r="G80" s="427"/>
      <c r="H80" s="427"/>
      <c r="I80" s="427"/>
      <c r="J80" s="427"/>
      <c r="K80" s="427"/>
      <c r="L80" s="427"/>
      <c r="M80" s="427"/>
      <c r="N80" s="427"/>
      <c r="O80" s="427"/>
      <c r="P80" s="427"/>
      <c r="Q80" s="427"/>
      <c r="R80" s="427"/>
      <c r="S80" s="427"/>
      <c r="T80" s="266"/>
    </row>
    <row r="81" spans="1:20" s="265" customFormat="1" ht="5.25" customHeight="1">
      <c r="A81" s="268"/>
      <c r="B81" s="268"/>
      <c r="C81" s="268"/>
      <c r="D81" s="268"/>
      <c r="E81" s="268"/>
      <c r="F81" s="268"/>
      <c r="G81" s="268"/>
      <c r="H81" s="268"/>
      <c r="I81" s="268"/>
      <c r="J81" s="268"/>
      <c r="K81" s="268"/>
      <c r="L81" s="268"/>
      <c r="M81" s="268"/>
      <c r="N81" s="268"/>
      <c r="O81" s="268"/>
      <c r="P81" s="268"/>
      <c r="Q81" s="268"/>
      <c r="R81" s="268"/>
      <c r="S81" s="268"/>
      <c r="T81" s="266"/>
    </row>
    <row r="82" spans="1:20" s="265" customFormat="1" ht="15.75" customHeight="1">
      <c r="A82" s="427" t="s">
        <v>779</v>
      </c>
      <c r="B82" s="427"/>
      <c r="C82" s="427"/>
      <c r="D82" s="427"/>
      <c r="E82" s="427"/>
      <c r="F82" s="427"/>
      <c r="G82" s="427"/>
      <c r="H82" s="427"/>
      <c r="I82" s="427"/>
      <c r="J82" s="427"/>
      <c r="K82" s="427"/>
      <c r="L82" s="427"/>
      <c r="M82" s="427"/>
      <c r="N82" s="427"/>
      <c r="O82" s="427"/>
      <c r="P82" s="427"/>
      <c r="Q82" s="427"/>
      <c r="R82" s="427"/>
      <c r="S82" s="427"/>
      <c r="T82" s="266"/>
    </row>
    <row r="83" spans="1:20" s="265" customFormat="1" ht="5.25" customHeight="1">
      <c r="A83" s="268"/>
      <c r="B83" s="268"/>
      <c r="C83" s="268"/>
      <c r="D83" s="268"/>
      <c r="E83" s="268"/>
      <c r="F83" s="268"/>
      <c r="G83" s="268"/>
      <c r="H83" s="268"/>
      <c r="I83" s="268"/>
      <c r="J83" s="268"/>
      <c r="K83" s="268"/>
      <c r="L83" s="268"/>
      <c r="M83" s="268"/>
      <c r="N83" s="268"/>
      <c r="O83" s="268"/>
      <c r="P83" s="268"/>
      <c r="Q83" s="268"/>
      <c r="R83" s="268"/>
      <c r="S83" s="268"/>
      <c r="T83" s="266"/>
    </row>
    <row r="84" spans="1:20" s="265" customFormat="1" ht="15.75" customHeight="1">
      <c r="A84" s="430" t="s">
        <v>780</v>
      </c>
      <c r="B84" s="427"/>
      <c r="C84" s="427"/>
      <c r="D84" s="427"/>
      <c r="E84" s="427"/>
      <c r="F84" s="427"/>
      <c r="G84" s="427"/>
      <c r="H84" s="427"/>
      <c r="I84" s="427"/>
      <c r="J84" s="427"/>
      <c r="K84" s="427"/>
      <c r="L84" s="427"/>
      <c r="M84" s="427"/>
      <c r="N84" s="427"/>
      <c r="O84" s="427"/>
      <c r="P84" s="427"/>
      <c r="Q84" s="427"/>
      <c r="R84" s="427"/>
      <c r="S84" s="427"/>
      <c r="T84" s="266"/>
    </row>
    <row r="85" spans="1:20" s="265" customFormat="1" ht="5.25" customHeight="1">
      <c r="A85" s="268"/>
      <c r="B85" s="268"/>
      <c r="C85" s="268"/>
      <c r="D85" s="268"/>
      <c r="E85" s="268"/>
      <c r="F85" s="268"/>
      <c r="G85" s="268"/>
      <c r="H85" s="268"/>
      <c r="I85" s="268"/>
      <c r="J85" s="268"/>
      <c r="K85" s="268"/>
      <c r="L85" s="268"/>
      <c r="M85" s="268"/>
      <c r="N85" s="268"/>
      <c r="O85" s="268"/>
      <c r="P85" s="268"/>
      <c r="Q85" s="268"/>
      <c r="R85" s="268"/>
      <c r="S85" s="268"/>
      <c r="T85" s="266"/>
    </row>
    <row r="86" spans="1:20" s="265" customFormat="1" ht="15.75" customHeight="1">
      <c r="A86" s="430" t="s">
        <v>686</v>
      </c>
      <c r="B86" s="427"/>
      <c r="C86" s="427"/>
      <c r="D86" s="427"/>
      <c r="E86" s="427"/>
      <c r="F86" s="427"/>
      <c r="G86" s="427"/>
      <c r="H86" s="427"/>
      <c r="I86" s="427"/>
      <c r="J86" s="427"/>
      <c r="K86" s="427"/>
      <c r="L86" s="427"/>
      <c r="M86" s="427"/>
      <c r="N86" s="427"/>
      <c r="O86" s="427"/>
      <c r="P86" s="427"/>
      <c r="Q86" s="427"/>
      <c r="R86" s="427"/>
      <c r="S86" s="427"/>
      <c r="T86" s="266"/>
    </row>
    <row r="87" spans="1:20" s="265" customFormat="1" ht="5.25" customHeight="1">
      <c r="A87" s="268"/>
      <c r="B87" s="268"/>
      <c r="C87" s="268"/>
      <c r="D87" s="268"/>
      <c r="E87" s="268"/>
      <c r="F87" s="268"/>
      <c r="G87" s="268"/>
      <c r="H87" s="268"/>
      <c r="I87" s="268"/>
      <c r="J87" s="268"/>
      <c r="K87" s="268"/>
      <c r="L87" s="268"/>
      <c r="M87" s="268"/>
      <c r="N87" s="268"/>
      <c r="O87" s="268"/>
      <c r="P87" s="268"/>
      <c r="Q87" s="268"/>
      <c r="R87" s="268"/>
      <c r="S87" s="268"/>
      <c r="T87" s="266"/>
    </row>
    <row r="88" spans="1:20" s="265" customFormat="1" ht="41.25" customHeight="1">
      <c r="A88" s="430" t="s">
        <v>687</v>
      </c>
      <c r="B88" s="427"/>
      <c r="C88" s="427"/>
      <c r="D88" s="427"/>
      <c r="E88" s="427"/>
      <c r="F88" s="427"/>
      <c r="G88" s="427"/>
      <c r="H88" s="427"/>
      <c r="I88" s="427"/>
      <c r="J88" s="427"/>
      <c r="K88" s="427"/>
      <c r="L88" s="427"/>
      <c r="M88" s="427"/>
      <c r="N88" s="427"/>
      <c r="O88" s="427"/>
      <c r="P88" s="427"/>
      <c r="Q88" s="427"/>
      <c r="R88" s="427"/>
      <c r="S88" s="427"/>
      <c r="T88" s="266"/>
    </row>
    <row r="89" spans="1:20" s="265" customFormat="1" ht="5.25" customHeight="1">
      <c r="A89" s="268"/>
      <c r="B89" s="268"/>
      <c r="C89" s="268"/>
      <c r="D89" s="268"/>
      <c r="E89" s="268"/>
      <c r="F89" s="268"/>
      <c r="G89" s="268"/>
      <c r="H89" s="268"/>
      <c r="I89" s="268"/>
      <c r="J89" s="268"/>
      <c r="K89" s="268"/>
      <c r="L89" s="268"/>
      <c r="M89" s="268"/>
      <c r="N89" s="268"/>
      <c r="O89" s="268"/>
      <c r="P89" s="268"/>
      <c r="Q89" s="268"/>
      <c r="R89" s="268"/>
      <c r="S89" s="268"/>
      <c r="T89" s="266"/>
    </row>
    <row r="90" spans="1:20" s="265" customFormat="1" ht="28.5" customHeight="1">
      <c r="A90" s="430" t="s">
        <v>688</v>
      </c>
      <c r="B90" s="427"/>
      <c r="C90" s="427"/>
      <c r="D90" s="427"/>
      <c r="E90" s="427"/>
      <c r="F90" s="427"/>
      <c r="G90" s="427"/>
      <c r="H90" s="427"/>
      <c r="I90" s="427"/>
      <c r="J90" s="427"/>
      <c r="K90" s="427"/>
      <c r="L90" s="427"/>
      <c r="M90" s="427"/>
      <c r="N90" s="427"/>
      <c r="O90" s="427"/>
      <c r="P90" s="427"/>
      <c r="Q90" s="427"/>
      <c r="R90" s="427"/>
      <c r="S90" s="427"/>
      <c r="T90" s="266"/>
    </row>
    <row r="91" spans="1:20" s="265" customFormat="1" ht="5.25" customHeight="1">
      <c r="A91" s="268"/>
      <c r="B91" s="268"/>
      <c r="C91" s="268"/>
      <c r="D91" s="268"/>
      <c r="E91" s="268"/>
      <c r="F91" s="268"/>
      <c r="G91" s="268"/>
      <c r="H91" s="268"/>
      <c r="I91" s="268"/>
      <c r="J91" s="268"/>
      <c r="K91" s="268"/>
      <c r="L91" s="268"/>
      <c r="M91" s="268"/>
      <c r="N91" s="268"/>
      <c r="O91" s="268"/>
      <c r="P91" s="268"/>
      <c r="Q91" s="268"/>
      <c r="R91" s="268"/>
      <c r="S91" s="268"/>
      <c r="T91" s="266"/>
    </row>
    <row r="92" spans="1:20" s="265" customFormat="1" ht="28.5" customHeight="1">
      <c r="A92" s="430" t="s">
        <v>781</v>
      </c>
      <c r="B92" s="427"/>
      <c r="C92" s="427"/>
      <c r="D92" s="427"/>
      <c r="E92" s="427"/>
      <c r="F92" s="427"/>
      <c r="G92" s="427"/>
      <c r="H92" s="427"/>
      <c r="I92" s="427"/>
      <c r="J92" s="427"/>
      <c r="K92" s="427"/>
      <c r="L92" s="427"/>
      <c r="M92" s="427"/>
      <c r="N92" s="427"/>
      <c r="O92" s="427"/>
      <c r="P92" s="427"/>
      <c r="Q92" s="427"/>
      <c r="R92" s="427"/>
      <c r="S92" s="427"/>
      <c r="T92" s="266"/>
    </row>
    <row r="93" spans="1:20" s="265" customFormat="1" ht="5.25" customHeight="1">
      <c r="A93" s="268"/>
      <c r="B93" s="268"/>
      <c r="C93" s="268"/>
      <c r="D93" s="268"/>
      <c r="E93" s="268"/>
      <c r="F93" s="268"/>
      <c r="G93" s="268"/>
      <c r="H93" s="268"/>
      <c r="I93" s="268"/>
      <c r="J93" s="268"/>
      <c r="K93" s="268"/>
      <c r="L93" s="268"/>
      <c r="M93" s="268"/>
      <c r="N93" s="268"/>
      <c r="O93" s="268"/>
      <c r="P93" s="268"/>
      <c r="Q93" s="268"/>
      <c r="R93" s="268"/>
      <c r="S93" s="268"/>
      <c r="T93" s="266"/>
    </row>
    <row r="94" spans="1:20" s="265" customFormat="1" ht="78" customHeight="1">
      <c r="A94" s="430" t="s">
        <v>795</v>
      </c>
      <c r="B94" s="427"/>
      <c r="C94" s="427"/>
      <c r="D94" s="427"/>
      <c r="E94" s="427"/>
      <c r="F94" s="427"/>
      <c r="G94" s="427"/>
      <c r="H94" s="427"/>
      <c r="I94" s="427"/>
      <c r="J94" s="427"/>
      <c r="K94" s="427"/>
      <c r="L94" s="427"/>
      <c r="M94" s="427"/>
      <c r="N94" s="427"/>
      <c r="O94" s="427"/>
      <c r="P94" s="427"/>
      <c r="Q94" s="427"/>
      <c r="R94" s="427"/>
      <c r="S94" s="427"/>
      <c r="T94" s="266"/>
    </row>
    <row r="95" spans="1:20" s="265" customFormat="1" ht="5.25" customHeight="1">
      <c r="A95" s="268"/>
      <c r="B95" s="268"/>
      <c r="C95" s="268"/>
      <c r="D95" s="268"/>
      <c r="E95" s="268"/>
      <c r="F95" s="268"/>
      <c r="G95" s="268"/>
      <c r="H95" s="268"/>
      <c r="I95" s="268"/>
      <c r="J95" s="268"/>
      <c r="K95" s="268"/>
      <c r="L95" s="268"/>
      <c r="M95" s="268"/>
      <c r="N95" s="268"/>
      <c r="O95" s="268"/>
      <c r="P95" s="268"/>
      <c r="Q95" s="268"/>
      <c r="R95" s="268"/>
      <c r="S95" s="268"/>
      <c r="T95" s="266"/>
    </row>
    <row r="96" spans="1:20" s="265" customFormat="1" ht="15.75" customHeight="1">
      <c r="A96" s="430" t="s">
        <v>726</v>
      </c>
      <c r="B96" s="427"/>
      <c r="C96" s="427"/>
      <c r="D96" s="427"/>
      <c r="E96" s="427"/>
      <c r="F96" s="427"/>
      <c r="G96" s="427"/>
      <c r="H96" s="427"/>
      <c r="I96" s="427"/>
      <c r="J96" s="427"/>
      <c r="K96" s="427"/>
      <c r="L96" s="427"/>
      <c r="M96" s="427"/>
      <c r="N96" s="427"/>
      <c r="O96" s="427"/>
      <c r="P96" s="427"/>
      <c r="Q96" s="427"/>
      <c r="R96" s="427"/>
      <c r="S96" s="427"/>
      <c r="T96" s="266"/>
    </row>
    <row r="97" spans="1:20" s="265" customFormat="1" ht="5.25" customHeight="1">
      <c r="A97" s="268"/>
      <c r="B97" s="268"/>
      <c r="C97" s="268"/>
      <c r="D97" s="268"/>
      <c r="E97" s="268"/>
      <c r="F97" s="268"/>
      <c r="G97" s="268"/>
      <c r="H97" s="268"/>
      <c r="I97" s="268"/>
      <c r="J97" s="268"/>
      <c r="K97" s="268"/>
      <c r="L97" s="268"/>
      <c r="M97" s="268"/>
      <c r="N97" s="268"/>
      <c r="O97" s="268"/>
      <c r="P97" s="268"/>
      <c r="Q97" s="268"/>
      <c r="R97" s="268"/>
      <c r="S97" s="268"/>
      <c r="T97" s="266"/>
    </row>
    <row r="98" spans="1:20" s="265" customFormat="1" ht="28.5" customHeight="1">
      <c r="A98" s="430" t="s">
        <v>728</v>
      </c>
      <c r="B98" s="427"/>
      <c r="C98" s="427"/>
      <c r="D98" s="427"/>
      <c r="E98" s="427"/>
      <c r="F98" s="427"/>
      <c r="G98" s="427"/>
      <c r="H98" s="427"/>
      <c r="I98" s="427"/>
      <c r="J98" s="427"/>
      <c r="K98" s="427"/>
      <c r="L98" s="427"/>
      <c r="M98" s="427"/>
      <c r="N98" s="427"/>
      <c r="O98" s="427"/>
      <c r="P98" s="427"/>
      <c r="Q98" s="427"/>
      <c r="R98" s="427"/>
      <c r="S98" s="427"/>
      <c r="T98" s="266"/>
    </row>
    <row r="99" spans="1:20" s="265" customFormat="1" ht="5.25" customHeight="1">
      <c r="A99" s="268"/>
      <c r="B99" s="268"/>
      <c r="C99" s="268"/>
      <c r="D99" s="268"/>
      <c r="E99" s="268"/>
      <c r="F99" s="268"/>
      <c r="G99" s="268"/>
      <c r="H99" s="268"/>
      <c r="I99" s="268"/>
      <c r="J99" s="268"/>
      <c r="K99" s="268"/>
      <c r="L99" s="268"/>
      <c r="M99" s="268"/>
      <c r="N99" s="268"/>
      <c r="O99" s="268"/>
      <c r="P99" s="268"/>
      <c r="Q99" s="268"/>
      <c r="R99" s="268"/>
      <c r="S99" s="268"/>
      <c r="T99" s="266"/>
    </row>
    <row r="100" spans="1:20" s="265" customFormat="1" ht="28.5" customHeight="1">
      <c r="A100" s="430" t="s">
        <v>729</v>
      </c>
      <c r="B100" s="427"/>
      <c r="C100" s="427"/>
      <c r="D100" s="427"/>
      <c r="E100" s="427"/>
      <c r="F100" s="427"/>
      <c r="G100" s="427"/>
      <c r="H100" s="427"/>
      <c r="I100" s="427"/>
      <c r="J100" s="427"/>
      <c r="K100" s="427"/>
      <c r="L100" s="427"/>
      <c r="M100" s="427"/>
      <c r="N100" s="427"/>
      <c r="O100" s="427"/>
      <c r="P100" s="427"/>
      <c r="Q100" s="427"/>
      <c r="R100" s="427"/>
      <c r="S100" s="427"/>
      <c r="T100" s="266"/>
    </row>
    <row r="101" spans="1:20" s="265" customFormat="1" ht="5.25" customHeight="1">
      <c r="A101" s="268"/>
      <c r="B101" s="268"/>
      <c r="C101" s="268"/>
      <c r="D101" s="268"/>
      <c r="E101" s="268"/>
      <c r="F101" s="268"/>
      <c r="G101" s="268"/>
      <c r="H101" s="268"/>
      <c r="I101" s="268"/>
      <c r="J101" s="268"/>
      <c r="K101" s="268"/>
      <c r="L101" s="268"/>
      <c r="M101" s="268"/>
      <c r="N101" s="268"/>
      <c r="O101" s="268"/>
      <c r="P101" s="268"/>
      <c r="Q101" s="268"/>
      <c r="R101" s="268"/>
      <c r="S101" s="268"/>
      <c r="T101" s="266"/>
    </row>
    <row r="102" spans="1:20" s="265" customFormat="1" ht="15.75" customHeight="1">
      <c r="A102" s="430" t="s">
        <v>796</v>
      </c>
      <c r="B102" s="427"/>
      <c r="C102" s="427"/>
      <c r="D102" s="427"/>
      <c r="E102" s="427"/>
      <c r="F102" s="427"/>
      <c r="G102" s="427"/>
      <c r="H102" s="427"/>
      <c r="I102" s="427"/>
      <c r="J102" s="427"/>
      <c r="K102" s="427"/>
      <c r="L102" s="427"/>
      <c r="M102" s="427"/>
      <c r="N102" s="427"/>
      <c r="O102" s="427"/>
      <c r="P102" s="427"/>
      <c r="Q102" s="427"/>
      <c r="R102" s="427"/>
      <c r="S102" s="427"/>
      <c r="T102" s="266"/>
    </row>
    <row r="103" spans="1:20" s="265" customFormat="1" ht="5.25" customHeight="1">
      <c r="A103" s="268"/>
      <c r="B103" s="268"/>
      <c r="C103" s="268"/>
      <c r="D103" s="268"/>
      <c r="E103" s="268"/>
      <c r="F103" s="268"/>
      <c r="G103" s="268"/>
      <c r="H103" s="268"/>
      <c r="I103" s="268"/>
      <c r="J103" s="268"/>
      <c r="K103" s="268"/>
      <c r="L103" s="268"/>
      <c r="M103" s="268"/>
      <c r="N103" s="268"/>
      <c r="O103" s="268"/>
      <c r="P103" s="268"/>
      <c r="Q103" s="268"/>
      <c r="R103" s="268"/>
      <c r="S103" s="268"/>
      <c r="T103" s="266"/>
    </row>
    <row r="104" spans="1:20" s="265" customFormat="1" ht="15.75" customHeight="1">
      <c r="A104" s="430" t="s">
        <v>772</v>
      </c>
      <c r="B104" s="427"/>
      <c r="C104" s="427"/>
      <c r="D104" s="427"/>
      <c r="E104" s="427"/>
      <c r="F104" s="427"/>
      <c r="G104" s="427"/>
      <c r="H104" s="427"/>
      <c r="I104" s="427"/>
      <c r="J104" s="427"/>
      <c r="K104" s="427"/>
      <c r="L104" s="427"/>
      <c r="M104" s="427"/>
      <c r="N104" s="427"/>
      <c r="O104" s="427"/>
      <c r="P104" s="427"/>
      <c r="Q104" s="427"/>
      <c r="R104" s="427"/>
      <c r="S104" s="427"/>
      <c r="T104" s="266"/>
    </row>
    <row r="105" spans="1:20" s="265" customFormat="1" ht="5.25" customHeight="1">
      <c r="A105" s="268"/>
      <c r="B105" s="268"/>
      <c r="C105" s="268"/>
      <c r="D105" s="268"/>
      <c r="E105" s="268"/>
      <c r="F105" s="268"/>
      <c r="G105" s="268"/>
      <c r="H105" s="268"/>
      <c r="I105" s="268"/>
      <c r="J105" s="268"/>
      <c r="K105" s="268"/>
      <c r="L105" s="268"/>
      <c r="M105" s="268"/>
      <c r="N105" s="268"/>
      <c r="O105" s="268"/>
      <c r="P105" s="268"/>
      <c r="Q105" s="268"/>
      <c r="R105" s="268"/>
      <c r="S105" s="268"/>
      <c r="T105" s="266"/>
    </row>
    <row r="106" spans="1:20" s="265" customFormat="1" ht="5.25" customHeight="1">
      <c r="A106" s="268"/>
      <c r="B106" s="268"/>
      <c r="C106" s="268"/>
      <c r="D106" s="268"/>
      <c r="E106" s="268"/>
      <c r="F106" s="268"/>
      <c r="G106" s="268"/>
      <c r="H106" s="268"/>
      <c r="I106" s="268"/>
      <c r="J106" s="268"/>
      <c r="K106" s="268"/>
      <c r="L106" s="268"/>
      <c r="M106" s="268"/>
      <c r="N106" s="268"/>
      <c r="O106" s="268"/>
      <c r="P106" s="268"/>
      <c r="Q106" s="268"/>
      <c r="R106" s="268"/>
      <c r="S106" s="268"/>
      <c r="T106" s="266"/>
    </row>
    <row r="107" spans="1:20" s="265" customFormat="1" ht="15.75" customHeight="1">
      <c r="A107" s="426" t="str">
        <f>'Tabell 2.1–2.2'!B72</f>
        <v>Tabell 2.2. Personal för infrastrukturarbeten och trafikledning – Järnvägar.</v>
      </c>
      <c r="B107" s="433"/>
      <c r="C107" s="433"/>
      <c r="D107" s="433"/>
      <c r="E107" s="433"/>
      <c r="F107" s="433"/>
      <c r="G107" s="433"/>
      <c r="H107" s="433"/>
      <c r="I107" s="433"/>
      <c r="J107" s="433"/>
      <c r="K107" s="433"/>
      <c r="L107" s="433"/>
      <c r="M107" s="433"/>
      <c r="N107" s="433"/>
      <c r="O107" s="433"/>
      <c r="P107" s="433"/>
      <c r="Q107" s="433"/>
      <c r="R107" s="433"/>
      <c r="S107" s="433"/>
      <c r="T107" s="266"/>
    </row>
    <row r="108" spans="1:20" s="265" customFormat="1" ht="5.25" customHeight="1">
      <c r="A108" s="268"/>
      <c r="B108" s="268"/>
      <c r="C108" s="268"/>
      <c r="D108" s="268"/>
      <c r="E108" s="268"/>
      <c r="F108" s="268"/>
      <c r="G108" s="268"/>
      <c r="H108" s="268"/>
      <c r="I108" s="268"/>
      <c r="J108" s="268"/>
      <c r="K108" s="268"/>
      <c r="L108" s="268"/>
      <c r="M108" s="268"/>
      <c r="N108" s="268"/>
      <c r="O108" s="268"/>
      <c r="P108" s="268"/>
      <c r="Q108" s="268"/>
      <c r="R108" s="268"/>
      <c r="S108" s="268"/>
      <c r="T108" s="266"/>
    </row>
    <row r="109" spans="1:20" s="265" customFormat="1" ht="117.75" customHeight="1">
      <c r="A109" s="427" t="s">
        <v>797</v>
      </c>
      <c r="B109" s="427"/>
      <c r="C109" s="427"/>
      <c r="D109" s="427"/>
      <c r="E109" s="427"/>
      <c r="F109" s="427"/>
      <c r="G109" s="427"/>
      <c r="H109" s="427"/>
      <c r="I109" s="427"/>
      <c r="J109" s="427"/>
      <c r="K109" s="427"/>
      <c r="L109" s="427"/>
      <c r="M109" s="427"/>
      <c r="N109" s="427"/>
      <c r="O109" s="427"/>
      <c r="P109" s="427"/>
      <c r="Q109" s="427"/>
      <c r="R109" s="427"/>
      <c r="S109" s="427"/>
      <c r="T109" s="266"/>
    </row>
    <row r="110" spans="1:20" s="265" customFormat="1" ht="5.25" customHeight="1">
      <c r="A110" s="268"/>
      <c r="B110" s="268"/>
      <c r="C110" s="268"/>
      <c r="D110" s="268"/>
      <c r="E110" s="268"/>
      <c r="F110" s="268"/>
      <c r="G110" s="268"/>
      <c r="H110" s="268"/>
      <c r="I110" s="268"/>
      <c r="J110" s="268"/>
      <c r="K110" s="268"/>
      <c r="L110" s="268"/>
      <c r="M110" s="268"/>
      <c r="N110" s="268"/>
      <c r="O110" s="268"/>
      <c r="P110" s="268"/>
      <c r="Q110" s="268"/>
      <c r="R110" s="268"/>
      <c r="S110" s="268"/>
      <c r="T110" s="266"/>
    </row>
    <row r="111" spans="1:20" s="265" customFormat="1" ht="15.75" customHeight="1">
      <c r="A111" s="430" t="s">
        <v>689</v>
      </c>
      <c r="B111" s="427"/>
      <c r="C111" s="427"/>
      <c r="D111" s="427"/>
      <c r="E111" s="427"/>
      <c r="F111" s="427"/>
      <c r="G111" s="427"/>
      <c r="H111" s="427"/>
      <c r="I111" s="427"/>
      <c r="J111" s="427"/>
      <c r="K111" s="427"/>
      <c r="L111" s="427"/>
      <c r="M111" s="427"/>
      <c r="N111" s="427"/>
      <c r="O111" s="427"/>
      <c r="P111" s="427"/>
      <c r="Q111" s="427"/>
      <c r="R111" s="427"/>
      <c r="S111" s="427"/>
      <c r="T111" s="266"/>
    </row>
    <row r="112" spans="1:20" s="265" customFormat="1" ht="5.25" customHeight="1">
      <c r="A112" s="268"/>
      <c r="B112" s="268"/>
      <c r="C112" s="268"/>
      <c r="D112" s="268"/>
      <c r="E112" s="268"/>
      <c r="F112" s="268"/>
      <c r="G112" s="268"/>
      <c r="H112" s="268"/>
      <c r="I112" s="268"/>
      <c r="J112" s="268"/>
      <c r="K112" s="268"/>
      <c r="L112" s="268"/>
      <c r="M112" s="268"/>
      <c r="N112" s="268"/>
      <c r="O112" s="268"/>
      <c r="P112" s="268"/>
      <c r="Q112" s="268"/>
      <c r="R112" s="268"/>
      <c r="S112" s="268"/>
      <c r="T112" s="266"/>
    </row>
    <row r="113" spans="1:20" s="265" customFormat="1" ht="15.75" customHeight="1">
      <c r="A113" s="430" t="s">
        <v>727</v>
      </c>
      <c r="B113" s="427"/>
      <c r="C113" s="427"/>
      <c r="D113" s="427"/>
      <c r="E113" s="427"/>
      <c r="F113" s="427"/>
      <c r="G113" s="427"/>
      <c r="H113" s="427"/>
      <c r="I113" s="427"/>
      <c r="J113" s="427"/>
      <c r="K113" s="427"/>
      <c r="L113" s="427"/>
      <c r="M113" s="427"/>
      <c r="N113" s="427"/>
      <c r="O113" s="427"/>
      <c r="P113" s="427"/>
      <c r="Q113" s="427"/>
      <c r="R113" s="427"/>
      <c r="S113" s="427"/>
      <c r="T113" s="266"/>
    </row>
    <row r="114" spans="1:20" s="265" customFormat="1" ht="5.25" customHeight="1">
      <c r="A114" s="268"/>
      <c r="B114" s="268"/>
      <c r="C114" s="268"/>
      <c r="D114" s="268"/>
      <c r="E114" s="268"/>
      <c r="F114" s="268"/>
      <c r="G114" s="268"/>
      <c r="H114" s="268"/>
      <c r="I114" s="268"/>
      <c r="J114" s="268"/>
      <c r="K114" s="268"/>
      <c r="L114" s="268"/>
      <c r="M114" s="268"/>
      <c r="N114" s="268"/>
      <c r="O114" s="268"/>
      <c r="P114" s="268"/>
      <c r="Q114" s="268"/>
      <c r="R114" s="268"/>
      <c r="S114" s="268"/>
      <c r="T114" s="266"/>
    </row>
    <row r="115" spans="1:20" s="265" customFormat="1" ht="15.75" customHeight="1">
      <c r="A115" s="430" t="s">
        <v>690</v>
      </c>
      <c r="B115" s="427"/>
      <c r="C115" s="427"/>
      <c r="D115" s="427"/>
      <c r="E115" s="427"/>
      <c r="F115" s="427"/>
      <c r="G115" s="427"/>
      <c r="H115" s="427"/>
      <c r="I115" s="427"/>
      <c r="J115" s="427"/>
      <c r="K115" s="427"/>
      <c r="L115" s="427"/>
      <c r="M115" s="427"/>
      <c r="N115" s="427"/>
      <c r="O115" s="427"/>
      <c r="P115" s="427"/>
      <c r="Q115" s="427"/>
      <c r="R115" s="427"/>
      <c r="S115" s="427"/>
      <c r="T115" s="266"/>
    </row>
    <row r="116" spans="1:20" s="265" customFormat="1" ht="5.25" customHeight="1">
      <c r="A116" s="268"/>
      <c r="B116" s="268"/>
      <c r="C116" s="268"/>
      <c r="D116" s="268"/>
      <c r="E116" s="268"/>
      <c r="F116" s="268"/>
      <c r="G116" s="268"/>
      <c r="H116" s="268"/>
      <c r="I116" s="268"/>
      <c r="J116" s="268"/>
      <c r="K116" s="268"/>
      <c r="L116" s="268"/>
      <c r="M116" s="268"/>
      <c r="N116" s="268"/>
      <c r="O116" s="268"/>
      <c r="P116" s="268"/>
      <c r="Q116" s="268"/>
      <c r="R116" s="268"/>
      <c r="S116" s="268"/>
      <c r="T116" s="266"/>
    </row>
    <row r="117" spans="1:20" s="265" customFormat="1" ht="15.75" customHeight="1">
      <c r="A117" s="426" t="str">
        <f>'Tabell 2.3–2.4'!B1</f>
        <v>Tabell 2.3. Infrastruktur och investeringar – Spårvägar.</v>
      </c>
      <c r="B117" s="433"/>
      <c r="C117" s="433"/>
      <c r="D117" s="433"/>
      <c r="E117" s="433"/>
      <c r="F117" s="433"/>
      <c r="G117" s="433"/>
      <c r="H117" s="433"/>
      <c r="I117" s="433"/>
      <c r="J117" s="433"/>
      <c r="K117" s="433"/>
      <c r="L117" s="433"/>
      <c r="M117" s="433"/>
      <c r="N117" s="433"/>
      <c r="O117" s="433"/>
      <c r="P117" s="433"/>
      <c r="Q117" s="433"/>
      <c r="R117" s="433"/>
      <c r="S117" s="433"/>
      <c r="T117" s="266"/>
    </row>
    <row r="118" spans="1:20" s="265" customFormat="1" ht="5.25" customHeight="1">
      <c r="A118" s="268"/>
      <c r="B118" s="268"/>
      <c r="C118" s="268"/>
      <c r="D118" s="268"/>
      <c r="E118" s="268"/>
      <c r="F118" s="268"/>
      <c r="G118" s="268"/>
      <c r="H118" s="268"/>
      <c r="I118" s="268"/>
      <c r="J118" s="268"/>
      <c r="K118" s="268"/>
      <c r="L118" s="268"/>
      <c r="M118" s="268"/>
      <c r="N118" s="268"/>
      <c r="O118" s="268"/>
      <c r="P118" s="268"/>
      <c r="Q118" s="268"/>
      <c r="R118" s="268"/>
      <c r="S118" s="268"/>
      <c r="T118" s="266"/>
    </row>
    <row r="119" spans="1:20" s="265" customFormat="1" ht="28.5" customHeight="1">
      <c r="A119" s="430" t="s">
        <v>752</v>
      </c>
      <c r="B119" s="427"/>
      <c r="C119" s="427"/>
      <c r="D119" s="427"/>
      <c r="E119" s="427"/>
      <c r="F119" s="427"/>
      <c r="G119" s="427"/>
      <c r="H119" s="427"/>
      <c r="I119" s="427"/>
      <c r="J119" s="427"/>
      <c r="K119" s="427"/>
      <c r="L119" s="427"/>
      <c r="M119" s="427"/>
      <c r="N119" s="427"/>
      <c r="O119" s="427"/>
      <c r="P119" s="427"/>
      <c r="Q119" s="427"/>
      <c r="R119" s="427"/>
      <c r="S119" s="427"/>
      <c r="T119" s="266"/>
    </row>
    <row r="120" spans="1:20" s="265" customFormat="1" ht="5.25" customHeight="1">
      <c r="A120" s="268"/>
      <c r="B120" s="268"/>
      <c r="C120" s="268"/>
      <c r="D120" s="268"/>
      <c r="E120" s="268"/>
      <c r="F120" s="268"/>
      <c r="G120" s="268"/>
      <c r="H120" s="268"/>
      <c r="I120" s="268"/>
      <c r="J120" s="268"/>
      <c r="K120" s="268"/>
      <c r="L120" s="268"/>
      <c r="M120" s="268"/>
      <c r="N120" s="268"/>
      <c r="O120" s="268"/>
      <c r="P120" s="268"/>
      <c r="Q120" s="268"/>
      <c r="R120" s="268"/>
      <c r="S120" s="268"/>
      <c r="T120" s="266"/>
    </row>
    <row r="121" spans="1:20" s="265" customFormat="1" ht="41.25" customHeight="1">
      <c r="A121" s="427" t="s">
        <v>691</v>
      </c>
      <c r="B121" s="427"/>
      <c r="C121" s="427"/>
      <c r="D121" s="427"/>
      <c r="E121" s="427"/>
      <c r="F121" s="427"/>
      <c r="G121" s="427"/>
      <c r="H121" s="427"/>
      <c r="I121" s="427"/>
      <c r="J121" s="427"/>
      <c r="K121" s="427"/>
      <c r="L121" s="427"/>
      <c r="M121" s="427"/>
      <c r="N121" s="427"/>
      <c r="O121" s="427"/>
      <c r="P121" s="427"/>
      <c r="Q121" s="427"/>
      <c r="R121" s="427"/>
      <c r="S121" s="427"/>
      <c r="T121" s="266"/>
    </row>
    <row r="122" spans="1:20" s="265" customFormat="1" ht="5.25" customHeight="1">
      <c r="A122" s="268"/>
      <c r="B122" s="268"/>
      <c r="C122" s="268"/>
      <c r="D122" s="268"/>
      <c r="E122" s="268"/>
      <c r="F122" s="268"/>
      <c r="G122" s="268"/>
      <c r="H122" s="268"/>
      <c r="I122" s="268"/>
      <c r="J122" s="268"/>
      <c r="K122" s="268"/>
      <c r="L122" s="268"/>
      <c r="M122" s="268"/>
      <c r="N122" s="268"/>
      <c r="O122" s="268"/>
      <c r="P122" s="268"/>
      <c r="Q122" s="268"/>
      <c r="R122" s="268"/>
      <c r="S122" s="268"/>
      <c r="T122" s="266"/>
    </row>
    <row r="123" spans="1:20" s="265" customFormat="1" ht="41.25" customHeight="1">
      <c r="A123" s="427" t="s">
        <v>692</v>
      </c>
      <c r="B123" s="427"/>
      <c r="C123" s="427"/>
      <c r="D123" s="427"/>
      <c r="E123" s="427"/>
      <c r="F123" s="427"/>
      <c r="G123" s="427"/>
      <c r="H123" s="427"/>
      <c r="I123" s="427"/>
      <c r="J123" s="427"/>
      <c r="K123" s="427"/>
      <c r="L123" s="427"/>
      <c r="M123" s="427"/>
      <c r="N123" s="427"/>
      <c r="O123" s="427"/>
      <c r="P123" s="427"/>
      <c r="Q123" s="427"/>
      <c r="R123" s="427"/>
      <c r="S123" s="427"/>
      <c r="T123" s="266"/>
    </row>
    <row r="124" spans="1:20" s="265" customFormat="1" ht="5.25" customHeight="1">
      <c r="A124" s="268"/>
      <c r="B124" s="268"/>
      <c r="C124" s="268"/>
      <c r="D124" s="268"/>
      <c r="E124" s="268"/>
      <c r="F124" s="268"/>
      <c r="G124" s="268"/>
      <c r="H124" s="268"/>
      <c r="I124" s="268"/>
      <c r="J124" s="268"/>
      <c r="K124" s="268"/>
      <c r="L124" s="268"/>
      <c r="M124" s="268"/>
      <c r="N124" s="268"/>
      <c r="O124" s="268"/>
      <c r="P124" s="268"/>
      <c r="Q124" s="268"/>
      <c r="R124" s="268"/>
      <c r="S124" s="268"/>
      <c r="T124" s="266"/>
    </row>
    <row r="125" spans="1:20" s="265" customFormat="1" ht="28.5" customHeight="1">
      <c r="A125" s="427" t="s">
        <v>693</v>
      </c>
      <c r="B125" s="427"/>
      <c r="C125" s="427"/>
      <c r="D125" s="427"/>
      <c r="E125" s="427"/>
      <c r="F125" s="427"/>
      <c r="G125" s="427"/>
      <c r="H125" s="427"/>
      <c r="I125" s="427"/>
      <c r="J125" s="427"/>
      <c r="K125" s="427"/>
      <c r="L125" s="427"/>
      <c r="M125" s="427"/>
      <c r="N125" s="427"/>
      <c r="O125" s="427"/>
      <c r="P125" s="427"/>
      <c r="Q125" s="427"/>
      <c r="R125" s="427"/>
      <c r="S125" s="427"/>
      <c r="T125" s="266"/>
    </row>
    <row r="126" spans="1:20" s="265" customFormat="1" ht="5.25" customHeight="1">
      <c r="A126" s="268"/>
      <c r="B126" s="268"/>
      <c r="C126" s="268"/>
      <c r="D126" s="268"/>
      <c r="E126" s="268"/>
      <c r="F126" s="268"/>
      <c r="G126" s="268"/>
      <c r="H126" s="268"/>
      <c r="I126" s="268"/>
      <c r="J126" s="268"/>
      <c r="K126" s="268"/>
      <c r="L126" s="268"/>
      <c r="M126" s="268"/>
      <c r="N126" s="268"/>
      <c r="O126" s="268"/>
      <c r="P126" s="268"/>
      <c r="Q126" s="268"/>
      <c r="R126" s="268"/>
      <c r="S126" s="268"/>
      <c r="T126" s="266"/>
    </row>
    <row r="127" spans="1:20" s="265" customFormat="1" ht="28.5" customHeight="1">
      <c r="A127" s="427" t="s">
        <v>730</v>
      </c>
      <c r="B127" s="427"/>
      <c r="C127" s="427"/>
      <c r="D127" s="427"/>
      <c r="E127" s="427"/>
      <c r="F127" s="427"/>
      <c r="G127" s="427"/>
      <c r="H127" s="427"/>
      <c r="I127" s="427"/>
      <c r="J127" s="427"/>
      <c r="K127" s="427"/>
      <c r="L127" s="427"/>
      <c r="M127" s="427"/>
      <c r="N127" s="427"/>
      <c r="O127" s="427"/>
      <c r="P127" s="427"/>
      <c r="Q127" s="427"/>
      <c r="R127" s="427"/>
      <c r="S127" s="427"/>
      <c r="T127" s="266"/>
    </row>
    <row r="128" spans="1:20" s="265" customFormat="1" ht="5.25" customHeight="1">
      <c r="A128" s="268"/>
      <c r="B128" s="268"/>
      <c r="C128" s="268"/>
      <c r="D128" s="268"/>
      <c r="E128" s="268"/>
      <c r="F128" s="268"/>
      <c r="G128" s="268"/>
      <c r="H128" s="268"/>
      <c r="I128" s="268"/>
      <c r="J128" s="268"/>
      <c r="K128" s="268"/>
      <c r="L128" s="268"/>
      <c r="M128" s="268"/>
      <c r="N128" s="268"/>
      <c r="O128" s="268"/>
      <c r="P128" s="268"/>
      <c r="Q128" s="268"/>
      <c r="R128" s="268"/>
      <c r="S128" s="268"/>
      <c r="T128" s="266"/>
    </row>
    <row r="129" spans="1:20" s="265" customFormat="1" ht="28.5" customHeight="1">
      <c r="A129" s="427" t="s">
        <v>733</v>
      </c>
      <c r="B129" s="427"/>
      <c r="C129" s="427"/>
      <c r="D129" s="427"/>
      <c r="E129" s="427"/>
      <c r="F129" s="427"/>
      <c r="G129" s="427"/>
      <c r="H129" s="427"/>
      <c r="I129" s="427"/>
      <c r="J129" s="427"/>
      <c r="K129" s="427"/>
      <c r="L129" s="427"/>
      <c r="M129" s="427"/>
      <c r="N129" s="427"/>
      <c r="O129" s="427"/>
      <c r="P129" s="427"/>
      <c r="Q129" s="427"/>
      <c r="R129" s="427"/>
      <c r="S129" s="427"/>
      <c r="T129" s="266"/>
    </row>
    <row r="130" spans="1:20" s="265" customFormat="1" ht="5.25" customHeight="1">
      <c r="A130" s="268"/>
      <c r="B130" s="268"/>
      <c r="C130" s="268"/>
      <c r="D130" s="268"/>
      <c r="E130" s="268"/>
      <c r="F130" s="268"/>
      <c r="G130" s="268"/>
      <c r="H130" s="268"/>
      <c r="I130" s="268"/>
      <c r="J130" s="268"/>
      <c r="K130" s="268"/>
      <c r="L130" s="268"/>
      <c r="M130" s="268"/>
      <c r="N130" s="268"/>
      <c r="O130" s="268"/>
      <c r="P130" s="268"/>
      <c r="Q130" s="268"/>
      <c r="R130" s="268"/>
      <c r="S130" s="268"/>
      <c r="T130" s="266"/>
    </row>
    <row r="131" spans="1:20" s="265" customFormat="1" ht="15.75" customHeight="1">
      <c r="A131" s="427" t="s">
        <v>798</v>
      </c>
      <c r="B131" s="427"/>
      <c r="C131" s="427"/>
      <c r="D131" s="427"/>
      <c r="E131" s="427"/>
      <c r="F131" s="427"/>
      <c r="G131" s="427"/>
      <c r="H131" s="427"/>
      <c r="I131" s="427"/>
      <c r="J131" s="427"/>
      <c r="K131" s="427"/>
      <c r="L131" s="427"/>
      <c r="M131" s="427"/>
      <c r="N131" s="427"/>
      <c r="O131" s="427"/>
      <c r="P131" s="427"/>
      <c r="Q131" s="427"/>
      <c r="R131" s="427"/>
      <c r="S131" s="427"/>
      <c r="T131" s="266"/>
    </row>
    <row r="132" spans="1:20" s="265" customFormat="1" ht="5.25" customHeight="1">
      <c r="A132" s="268"/>
      <c r="B132" s="268"/>
      <c r="C132" s="268"/>
      <c r="D132" s="268"/>
      <c r="E132" s="268"/>
      <c r="F132" s="268"/>
      <c r="G132" s="268"/>
      <c r="H132" s="268"/>
      <c r="I132" s="268"/>
      <c r="J132" s="268"/>
      <c r="K132" s="268"/>
      <c r="L132" s="268"/>
      <c r="M132" s="268"/>
      <c r="N132" s="268"/>
      <c r="O132" s="268"/>
      <c r="P132" s="268"/>
      <c r="Q132" s="268"/>
      <c r="R132" s="268"/>
      <c r="S132" s="268"/>
      <c r="T132" s="266"/>
    </row>
    <row r="133" spans="1:20" s="265" customFormat="1" ht="15.75" customHeight="1">
      <c r="A133" s="427" t="s">
        <v>734</v>
      </c>
      <c r="B133" s="427"/>
      <c r="C133" s="427"/>
      <c r="D133" s="427"/>
      <c r="E133" s="427"/>
      <c r="F133" s="427"/>
      <c r="G133" s="427"/>
      <c r="H133" s="427"/>
      <c r="I133" s="427"/>
      <c r="J133" s="427"/>
      <c r="K133" s="427"/>
      <c r="L133" s="427"/>
      <c r="M133" s="427"/>
      <c r="N133" s="427"/>
      <c r="O133" s="427"/>
      <c r="P133" s="427"/>
      <c r="Q133" s="427"/>
      <c r="R133" s="427"/>
      <c r="S133" s="427"/>
      <c r="T133" s="266"/>
    </row>
    <row r="134" spans="1:20" s="265" customFormat="1" ht="5.25" customHeight="1">
      <c r="A134" s="268"/>
      <c r="B134" s="268"/>
      <c r="C134" s="268"/>
      <c r="D134" s="268"/>
      <c r="E134" s="268"/>
      <c r="F134" s="268"/>
      <c r="G134" s="268"/>
      <c r="H134" s="268"/>
      <c r="I134" s="268"/>
      <c r="J134" s="268"/>
      <c r="K134" s="268"/>
      <c r="L134" s="268"/>
      <c r="M134" s="268"/>
      <c r="N134" s="268"/>
      <c r="O134" s="268"/>
      <c r="P134" s="268"/>
      <c r="Q134" s="268"/>
      <c r="R134" s="268"/>
      <c r="S134" s="268"/>
      <c r="T134" s="266"/>
    </row>
    <row r="135" spans="1:20" s="265" customFormat="1" ht="5.25" customHeight="1">
      <c r="A135" s="268"/>
      <c r="B135" s="268"/>
      <c r="C135" s="268"/>
      <c r="D135" s="268"/>
      <c r="E135" s="268"/>
      <c r="F135" s="268"/>
      <c r="G135" s="268"/>
      <c r="H135" s="268"/>
      <c r="I135" s="268"/>
      <c r="J135" s="268"/>
      <c r="K135" s="268"/>
      <c r="L135" s="268"/>
      <c r="M135" s="268"/>
      <c r="N135" s="268"/>
      <c r="O135" s="268"/>
      <c r="P135" s="268"/>
      <c r="Q135" s="268"/>
      <c r="R135" s="268"/>
      <c r="S135" s="268"/>
      <c r="T135" s="266"/>
    </row>
    <row r="136" spans="1:20" s="265" customFormat="1" ht="15.75" customHeight="1">
      <c r="A136" s="426" t="str">
        <f>'Tabell 2.3–2.4'!B49</f>
        <v>Tabell 2.4. Personal för infrastrukturarbeten och trafikledning – Spårvägar.</v>
      </c>
      <c r="B136" s="433"/>
      <c r="C136" s="433"/>
      <c r="D136" s="433"/>
      <c r="E136" s="433"/>
      <c r="F136" s="433"/>
      <c r="G136" s="433"/>
      <c r="H136" s="433"/>
      <c r="I136" s="433"/>
      <c r="J136" s="433"/>
      <c r="K136" s="433"/>
      <c r="L136" s="433"/>
      <c r="M136" s="433"/>
      <c r="N136" s="433"/>
      <c r="O136" s="433"/>
      <c r="P136" s="433"/>
      <c r="Q136" s="433"/>
      <c r="R136" s="433"/>
      <c r="S136" s="433"/>
      <c r="T136" s="266"/>
    </row>
    <row r="137" spans="1:20" s="265" customFormat="1" ht="5.25" customHeight="1">
      <c r="A137" s="268"/>
      <c r="B137" s="268"/>
      <c r="C137" s="268"/>
      <c r="D137" s="268"/>
      <c r="E137" s="268"/>
      <c r="F137" s="268"/>
      <c r="G137" s="268"/>
      <c r="H137" s="268"/>
      <c r="I137" s="268"/>
      <c r="J137" s="268"/>
      <c r="K137" s="268"/>
      <c r="L137" s="268"/>
      <c r="M137" s="268"/>
      <c r="N137" s="268"/>
      <c r="O137" s="268"/>
      <c r="P137" s="268"/>
      <c r="Q137" s="268"/>
      <c r="R137" s="268"/>
      <c r="S137" s="268"/>
      <c r="T137" s="266"/>
    </row>
    <row r="138" spans="1:20" s="265" customFormat="1" ht="105.75" customHeight="1">
      <c r="A138" s="427" t="s">
        <v>799</v>
      </c>
      <c r="B138" s="427"/>
      <c r="C138" s="427"/>
      <c r="D138" s="427"/>
      <c r="E138" s="427"/>
      <c r="F138" s="427"/>
      <c r="G138" s="427"/>
      <c r="H138" s="427"/>
      <c r="I138" s="427"/>
      <c r="J138" s="427"/>
      <c r="K138" s="427"/>
      <c r="L138" s="427"/>
      <c r="M138" s="427"/>
      <c r="N138" s="427"/>
      <c r="O138" s="427"/>
      <c r="P138" s="427"/>
      <c r="Q138" s="427"/>
      <c r="R138" s="427"/>
      <c r="S138" s="427"/>
      <c r="T138" s="266"/>
    </row>
    <row r="139" spans="1:20" s="265" customFormat="1" ht="5.25" customHeight="1">
      <c r="A139" s="268"/>
      <c r="B139" s="268"/>
      <c r="C139" s="268"/>
      <c r="D139" s="268"/>
      <c r="E139" s="268"/>
      <c r="F139" s="268"/>
      <c r="G139" s="268"/>
      <c r="H139" s="268"/>
      <c r="I139" s="268"/>
      <c r="J139" s="268"/>
      <c r="K139" s="268"/>
      <c r="L139" s="268"/>
      <c r="M139" s="268"/>
      <c r="N139" s="268"/>
      <c r="O139" s="268"/>
      <c r="P139" s="268"/>
      <c r="Q139" s="268"/>
      <c r="R139" s="268"/>
      <c r="S139" s="268"/>
      <c r="T139" s="266"/>
    </row>
    <row r="140" spans="1:20" s="265" customFormat="1" ht="15.75" customHeight="1">
      <c r="A140" s="427" t="s">
        <v>696</v>
      </c>
      <c r="B140" s="427"/>
      <c r="C140" s="427"/>
      <c r="D140" s="427"/>
      <c r="E140" s="427"/>
      <c r="F140" s="427"/>
      <c r="G140" s="427"/>
      <c r="H140" s="427"/>
      <c r="I140" s="427"/>
      <c r="J140" s="427"/>
      <c r="K140" s="427"/>
      <c r="L140" s="427"/>
      <c r="M140" s="427"/>
      <c r="N140" s="427"/>
      <c r="O140" s="427"/>
      <c r="P140" s="427"/>
      <c r="Q140" s="427"/>
      <c r="R140" s="427"/>
      <c r="S140" s="427"/>
      <c r="T140" s="266"/>
    </row>
    <row r="141" spans="1:20" s="265" customFormat="1" ht="5.25" customHeight="1">
      <c r="A141" s="268"/>
      <c r="B141" s="268"/>
      <c r="C141" s="268"/>
      <c r="D141" s="268"/>
      <c r="E141" s="268"/>
      <c r="F141" s="268"/>
      <c r="G141" s="268"/>
      <c r="H141" s="268"/>
      <c r="I141" s="268"/>
      <c r="J141" s="268"/>
      <c r="K141" s="268"/>
      <c r="L141" s="268"/>
      <c r="M141" s="268"/>
      <c r="N141" s="268"/>
      <c r="O141" s="268"/>
      <c r="P141" s="268"/>
      <c r="Q141" s="268"/>
      <c r="R141" s="268"/>
      <c r="S141" s="268"/>
      <c r="T141" s="266"/>
    </row>
    <row r="142" spans="1:20" s="265" customFormat="1" ht="15.75" customHeight="1">
      <c r="A142" s="427" t="s">
        <v>694</v>
      </c>
      <c r="B142" s="427"/>
      <c r="C142" s="427"/>
      <c r="D142" s="427"/>
      <c r="E142" s="427"/>
      <c r="F142" s="427"/>
      <c r="G142" s="427"/>
      <c r="H142" s="427"/>
      <c r="I142" s="427"/>
      <c r="J142" s="427"/>
      <c r="K142" s="427"/>
      <c r="L142" s="427"/>
      <c r="M142" s="427"/>
      <c r="N142" s="427"/>
      <c r="O142" s="427"/>
      <c r="P142" s="427"/>
      <c r="Q142" s="427"/>
      <c r="R142" s="427"/>
      <c r="S142" s="427"/>
      <c r="T142" s="266"/>
    </row>
    <row r="143" spans="1:20" s="265" customFormat="1" ht="5.25" customHeight="1">
      <c r="A143" s="268"/>
      <c r="B143" s="268"/>
      <c r="C143" s="268"/>
      <c r="D143" s="268"/>
      <c r="E143" s="268"/>
      <c r="F143" s="268"/>
      <c r="G143" s="268"/>
      <c r="H143" s="268"/>
      <c r="I143" s="268"/>
      <c r="J143" s="268"/>
      <c r="K143" s="268"/>
      <c r="L143" s="268"/>
      <c r="M143" s="268"/>
      <c r="N143" s="268"/>
      <c r="O143" s="268"/>
      <c r="P143" s="268"/>
      <c r="Q143" s="268"/>
      <c r="R143" s="268"/>
      <c r="S143" s="268"/>
      <c r="T143" s="266"/>
    </row>
    <row r="144" spans="1:20" s="265" customFormat="1" ht="15.75" customHeight="1">
      <c r="A144" s="427" t="s">
        <v>695</v>
      </c>
      <c r="B144" s="427"/>
      <c r="C144" s="427"/>
      <c r="D144" s="427"/>
      <c r="E144" s="427"/>
      <c r="F144" s="427"/>
      <c r="G144" s="427"/>
      <c r="H144" s="427"/>
      <c r="I144" s="427"/>
      <c r="J144" s="427"/>
      <c r="K144" s="427"/>
      <c r="L144" s="427"/>
      <c r="M144" s="427"/>
      <c r="N144" s="427"/>
      <c r="O144" s="427"/>
      <c r="P144" s="427"/>
      <c r="Q144" s="427"/>
      <c r="R144" s="427"/>
      <c r="S144" s="427"/>
      <c r="T144" s="266"/>
    </row>
    <row r="145" spans="1:20" s="265" customFormat="1" ht="5.25" customHeight="1">
      <c r="A145" s="268"/>
      <c r="B145" s="268"/>
      <c r="C145" s="268"/>
      <c r="D145" s="268"/>
      <c r="E145" s="268"/>
      <c r="F145" s="268"/>
      <c r="G145" s="268"/>
      <c r="H145" s="268"/>
      <c r="I145" s="268"/>
      <c r="J145" s="268"/>
      <c r="K145" s="268"/>
      <c r="L145" s="268"/>
      <c r="M145" s="268"/>
      <c r="N145" s="268"/>
      <c r="O145" s="268"/>
      <c r="P145" s="268"/>
      <c r="Q145" s="268"/>
      <c r="R145" s="268"/>
      <c r="S145" s="268"/>
      <c r="T145" s="266"/>
    </row>
    <row r="146" spans="1:20" s="265" customFormat="1" ht="15.75" customHeight="1">
      <c r="A146" s="426" t="str">
        <f>'Tabell 2.5–2.6'!B1</f>
        <v>Tabell 2.5. Infrastruktur och investeringar – Tunnelbanan.</v>
      </c>
      <c r="B146" s="433"/>
      <c r="C146" s="433"/>
      <c r="D146" s="433"/>
      <c r="E146" s="433"/>
      <c r="F146" s="433"/>
      <c r="G146" s="433"/>
      <c r="H146" s="433"/>
      <c r="I146" s="433"/>
      <c r="J146" s="433"/>
      <c r="K146" s="433"/>
      <c r="L146" s="433"/>
      <c r="M146" s="433"/>
      <c r="N146" s="433"/>
      <c r="O146" s="433"/>
      <c r="P146" s="433"/>
      <c r="Q146" s="433"/>
      <c r="R146" s="433"/>
      <c r="S146" s="433"/>
      <c r="T146" s="266"/>
    </row>
    <row r="147" spans="1:20" s="265" customFormat="1" ht="5.25" customHeight="1">
      <c r="A147" s="268"/>
      <c r="B147" s="268"/>
      <c r="C147" s="268"/>
      <c r="D147" s="268"/>
      <c r="E147" s="268"/>
      <c r="F147" s="268"/>
      <c r="G147" s="268"/>
      <c r="H147" s="268"/>
      <c r="I147" s="268"/>
      <c r="J147" s="268"/>
      <c r="K147" s="268"/>
      <c r="L147" s="268"/>
      <c r="M147" s="268"/>
      <c r="N147" s="268"/>
      <c r="O147" s="268"/>
      <c r="P147" s="268"/>
      <c r="Q147" s="268"/>
      <c r="R147" s="268"/>
      <c r="S147" s="268"/>
      <c r="T147" s="266"/>
    </row>
    <row r="148" spans="1:20" s="265" customFormat="1" ht="28.5" customHeight="1">
      <c r="A148" s="427" t="s">
        <v>753</v>
      </c>
      <c r="B148" s="427"/>
      <c r="C148" s="427"/>
      <c r="D148" s="427"/>
      <c r="E148" s="427"/>
      <c r="F148" s="427"/>
      <c r="G148" s="427"/>
      <c r="H148" s="427"/>
      <c r="I148" s="427"/>
      <c r="J148" s="427"/>
      <c r="K148" s="427"/>
      <c r="L148" s="427"/>
      <c r="M148" s="427"/>
      <c r="N148" s="427"/>
      <c r="O148" s="427"/>
      <c r="P148" s="427"/>
      <c r="Q148" s="427"/>
      <c r="R148" s="427"/>
      <c r="S148" s="427"/>
      <c r="T148" s="266"/>
    </row>
    <row r="149" spans="1:20" s="265" customFormat="1" ht="5.25" customHeight="1">
      <c r="A149" s="268"/>
      <c r="B149" s="268"/>
      <c r="C149" s="268"/>
      <c r="D149" s="268"/>
      <c r="E149" s="268"/>
      <c r="F149" s="268"/>
      <c r="G149" s="268"/>
      <c r="H149" s="268"/>
      <c r="I149" s="268"/>
      <c r="J149" s="268"/>
      <c r="K149" s="268"/>
      <c r="L149" s="268"/>
      <c r="M149" s="268"/>
      <c r="N149" s="268"/>
      <c r="O149" s="268"/>
      <c r="P149" s="268"/>
      <c r="Q149" s="268"/>
      <c r="R149" s="268"/>
      <c r="S149" s="268"/>
      <c r="T149" s="266"/>
    </row>
    <row r="150" spans="1:20" s="265" customFormat="1" ht="41.25" customHeight="1">
      <c r="A150" s="427" t="s">
        <v>697</v>
      </c>
      <c r="B150" s="427"/>
      <c r="C150" s="427"/>
      <c r="D150" s="427"/>
      <c r="E150" s="427"/>
      <c r="F150" s="427"/>
      <c r="G150" s="427"/>
      <c r="H150" s="427"/>
      <c r="I150" s="427"/>
      <c r="J150" s="427"/>
      <c r="K150" s="427"/>
      <c r="L150" s="427"/>
      <c r="M150" s="427"/>
      <c r="N150" s="427"/>
      <c r="O150" s="427"/>
      <c r="P150" s="427"/>
      <c r="Q150" s="427"/>
      <c r="R150" s="427"/>
      <c r="S150" s="427"/>
      <c r="T150" s="266"/>
    </row>
    <row r="151" spans="1:20" s="265" customFormat="1" ht="5.25" customHeight="1">
      <c r="A151" s="268"/>
      <c r="B151" s="268"/>
      <c r="C151" s="268"/>
      <c r="D151" s="268"/>
      <c r="E151" s="268"/>
      <c r="F151" s="268"/>
      <c r="G151" s="268"/>
      <c r="H151" s="268"/>
      <c r="I151" s="268"/>
      <c r="J151" s="268"/>
      <c r="K151" s="268"/>
      <c r="L151" s="268"/>
      <c r="M151" s="268"/>
      <c r="N151" s="268"/>
      <c r="O151" s="268"/>
      <c r="P151" s="268"/>
      <c r="Q151" s="268"/>
      <c r="R151" s="268"/>
      <c r="S151" s="268"/>
      <c r="T151" s="266"/>
    </row>
    <row r="152" spans="1:20" s="265" customFormat="1" ht="41.25" customHeight="1">
      <c r="A152" s="427" t="s">
        <v>698</v>
      </c>
      <c r="B152" s="427"/>
      <c r="C152" s="427"/>
      <c r="D152" s="427"/>
      <c r="E152" s="427"/>
      <c r="F152" s="427"/>
      <c r="G152" s="427"/>
      <c r="H152" s="427"/>
      <c r="I152" s="427"/>
      <c r="J152" s="427"/>
      <c r="K152" s="427"/>
      <c r="L152" s="427"/>
      <c r="M152" s="427"/>
      <c r="N152" s="427"/>
      <c r="O152" s="427"/>
      <c r="P152" s="427"/>
      <c r="Q152" s="427"/>
      <c r="R152" s="427"/>
      <c r="S152" s="427"/>
      <c r="T152" s="266"/>
    </row>
    <row r="153" spans="1:20" s="265" customFormat="1" ht="5.25" customHeight="1">
      <c r="A153" s="268"/>
      <c r="B153" s="268"/>
      <c r="C153" s="268"/>
      <c r="D153" s="268"/>
      <c r="E153" s="268"/>
      <c r="F153" s="268"/>
      <c r="G153" s="268"/>
      <c r="H153" s="268"/>
      <c r="I153" s="268"/>
      <c r="J153" s="268"/>
      <c r="K153" s="268"/>
      <c r="L153" s="268"/>
      <c r="M153" s="268"/>
      <c r="N153" s="268"/>
      <c r="O153" s="268"/>
      <c r="P153" s="268"/>
      <c r="Q153" s="268"/>
      <c r="R153" s="268"/>
      <c r="S153" s="268"/>
      <c r="T153" s="266"/>
    </row>
    <row r="154" spans="1:20" s="265" customFormat="1" ht="28.5" customHeight="1">
      <c r="A154" s="427" t="s">
        <v>699</v>
      </c>
      <c r="B154" s="427"/>
      <c r="C154" s="427"/>
      <c r="D154" s="427"/>
      <c r="E154" s="427"/>
      <c r="F154" s="427"/>
      <c r="G154" s="427"/>
      <c r="H154" s="427"/>
      <c r="I154" s="427"/>
      <c r="J154" s="427"/>
      <c r="K154" s="427"/>
      <c r="L154" s="427"/>
      <c r="M154" s="427"/>
      <c r="N154" s="427"/>
      <c r="O154" s="427"/>
      <c r="P154" s="427"/>
      <c r="Q154" s="427"/>
      <c r="R154" s="427"/>
      <c r="S154" s="427"/>
      <c r="T154" s="266"/>
    </row>
    <row r="155" spans="1:20" s="265" customFormat="1" ht="5.25" customHeight="1">
      <c r="A155" s="268"/>
      <c r="B155" s="268"/>
      <c r="C155" s="268"/>
      <c r="D155" s="268"/>
      <c r="E155" s="268"/>
      <c r="F155" s="268"/>
      <c r="G155" s="268"/>
      <c r="H155" s="268"/>
      <c r="I155" s="268"/>
      <c r="J155" s="268"/>
      <c r="K155" s="268"/>
      <c r="L155" s="268"/>
      <c r="M155" s="268"/>
      <c r="N155" s="268"/>
      <c r="O155" s="268"/>
      <c r="P155" s="268"/>
      <c r="Q155" s="268"/>
      <c r="R155" s="268"/>
      <c r="S155" s="268"/>
      <c r="T155" s="266"/>
    </row>
    <row r="156" spans="1:20" s="265" customFormat="1" ht="28.5" customHeight="1">
      <c r="A156" s="427" t="s">
        <v>731</v>
      </c>
      <c r="B156" s="427"/>
      <c r="C156" s="427"/>
      <c r="D156" s="427"/>
      <c r="E156" s="427"/>
      <c r="F156" s="427"/>
      <c r="G156" s="427"/>
      <c r="H156" s="427"/>
      <c r="I156" s="427"/>
      <c r="J156" s="427"/>
      <c r="K156" s="427"/>
      <c r="L156" s="427"/>
      <c r="M156" s="427"/>
      <c r="N156" s="427"/>
      <c r="O156" s="427"/>
      <c r="P156" s="427"/>
      <c r="Q156" s="427"/>
      <c r="R156" s="427"/>
      <c r="S156" s="427"/>
      <c r="T156" s="266"/>
    </row>
    <row r="157" spans="1:20" s="265" customFormat="1" ht="5.25" customHeight="1">
      <c r="A157" s="268"/>
      <c r="B157" s="268"/>
      <c r="C157" s="268"/>
      <c r="D157" s="268"/>
      <c r="E157" s="268"/>
      <c r="F157" s="268"/>
      <c r="G157" s="268"/>
      <c r="H157" s="268"/>
      <c r="I157" s="268"/>
      <c r="J157" s="268"/>
      <c r="K157" s="268"/>
      <c r="L157" s="268"/>
      <c r="M157" s="268"/>
      <c r="N157" s="268"/>
      <c r="O157" s="268"/>
      <c r="P157" s="268"/>
      <c r="Q157" s="268"/>
      <c r="R157" s="268"/>
      <c r="S157" s="268"/>
      <c r="T157" s="266"/>
    </row>
    <row r="158" spans="1:20" s="265" customFormat="1" ht="28.5" customHeight="1">
      <c r="A158" s="427" t="s">
        <v>732</v>
      </c>
      <c r="B158" s="427"/>
      <c r="C158" s="427"/>
      <c r="D158" s="427"/>
      <c r="E158" s="427"/>
      <c r="F158" s="427"/>
      <c r="G158" s="427"/>
      <c r="H158" s="427"/>
      <c r="I158" s="427"/>
      <c r="J158" s="427"/>
      <c r="K158" s="427"/>
      <c r="L158" s="427"/>
      <c r="M158" s="427"/>
      <c r="N158" s="427"/>
      <c r="O158" s="427"/>
      <c r="P158" s="427"/>
      <c r="Q158" s="427"/>
      <c r="R158" s="427"/>
      <c r="S158" s="427"/>
      <c r="T158" s="266"/>
    </row>
    <row r="159" spans="1:20" s="265" customFormat="1" ht="5.25" customHeight="1">
      <c r="A159" s="268"/>
      <c r="B159" s="268"/>
      <c r="C159" s="268"/>
      <c r="D159" s="268"/>
      <c r="E159" s="268"/>
      <c r="F159" s="268"/>
      <c r="G159" s="268"/>
      <c r="H159" s="268"/>
      <c r="I159" s="268"/>
      <c r="J159" s="268"/>
      <c r="K159" s="268"/>
      <c r="L159" s="268"/>
      <c r="M159" s="268"/>
      <c r="N159" s="268"/>
      <c r="O159" s="268"/>
      <c r="P159" s="268"/>
      <c r="Q159" s="268"/>
      <c r="R159" s="268"/>
      <c r="S159" s="268"/>
      <c r="T159" s="266"/>
    </row>
    <row r="160" spans="1:20" s="265" customFormat="1" ht="15.75" customHeight="1">
      <c r="A160" s="427" t="s">
        <v>800</v>
      </c>
      <c r="B160" s="427"/>
      <c r="C160" s="427"/>
      <c r="D160" s="427"/>
      <c r="E160" s="427"/>
      <c r="F160" s="427"/>
      <c r="G160" s="427"/>
      <c r="H160" s="427"/>
      <c r="I160" s="427"/>
      <c r="J160" s="427"/>
      <c r="K160" s="427"/>
      <c r="L160" s="427"/>
      <c r="M160" s="427"/>
      <c r="N160" s="427"/>
      <c r="O160" s="427"/>
      <c r="P160" s="427"/>
      <c r="Q160" s="427"/>
      <c r="R160" s="427"/>
      <c r="S160" s="427"/>
      <c r="T160" s="266"/>
    </row>
    <row r="161" spans="1:20" s="265" customFormat="1" ht="5.25" customHeight="1">
      <c r="A161" s="268"/>
      <c r="B161" s="268"/>
      <c r="C161" s="268"/>
      <c r="D161" s="268"/>
      <c r="E161" s="268"/>
      <c r="F161" s="268"/>
      <c r="G161" s="268"/>
      <c r="H161" s="268"/>
      <c r="I161" s="268"/>
      <c r="J161" s="268"/>
      <c r="K161" s="268"/>
      <c r="L161" s="268"/>
      <c r="M161" s="268"/>
      <c r="N161" s="268"/>
      <c r="O161" s="268"/>
      <c r="P161" s="268"/>
      <c r="Q161" s="268"/>
      <c r="R161" s="268"/>
      <c r="S161" s="268"/>
      <c r="T161" s="266"/>
    </row>
    <row r="162" spans="1:20" s="265" customFormat="1" ht="15.75" customHeight="1">
      <c r="A162" s="427" t="s">
        <v>734</v>
      </c>
      <c r="B162" s="427"/>
      <c r="C162" s="427"/>
      <c r="D162" s="427"/>
      <c r="E162" s="427"/>
      <c r="F162" s="427"/>
      <c r="G162" s="427"/>
      <c r="H162" s="427"/>
      <c r="I162" s="427"/>
      <c r="J162" s="427"/>
      <c r="K162" s="427"/>
      <c r="L162" s="427"/>
      <c r="M162" s="427"/>
      <c r="N162" s="427"/>
      <c r="O162" s="427"/>
      <c r="P162" s="427"/>
      <c r="Q162" s="427"/>
      <c r="R162" s="427"/>
      <c r="S162" s="427"/>
      <c r="T162" s="266"/>
    </row>
    <row r="163" spans="1:20" s="265" customFormat="1" ht="5.25" customHeight="1">
      <c r="A163" s="268"/>
      <c r="B163" s="268"/>
      <c r="C163" s="268"/>
      <c r="D163" s="268"/>
      <c r="E163" s="268"/>
      <c r="F163" s="268"/>
      <c r="G163" s="268"/>
      <c r="H163" s="268"/>
      <c r="I163" s="268"/>
      <c r="J163" s="268"/>
      <c r="K163" s="268"/>
      <c r="L163" s="268"/>
      <c r="M163" s="268"/>
      <c r="N163" s="268"/>
      <c r="O163" s="268"/>
      <c r="P163" s="268"/>
      <c r="Q163" s="268"/>
      <c r="R163" s="268"/>
      <c r="S163" s="268"/>
      <c r="T163" s="266"/>
    </row>
    <row r="164" spans="1:20" s="265" customFormat="1" ht="5.25" customHeight="1">
      <c r="A164" s="268"/>
      <c r="B164" s="268"/>
      <c r="C164" s="268"/>
      <c r="D164" s="268"/>
      <c r="E164" s="268"/>
      <c r="F164" s="268"/>
      <c r="G164" s="268"/>
      <c r="H164" s="268"/>
      <c r="I164" s="268"/>
      <c r="J164" s="268"/>
      <c r="K164" s="268"/>
      <c r="L164" s="268"/>
      <c r="M164" s="268"/>
      <c r="N164" s="268"/>
      <c r="O164" s="268"/>
      <c r="P164" s="268"/>
      <c r="Q164" s="268"/>
      <c r="R164" s="268"/>
      <c r="S164" s="268"/>
      <c r="T164" s="266"/>
    </row>
    <row r="165" spans="1:20" s="265" customFormat="1" ht="15.75" customHeight="1">
      <c r="A165" s="426" t="str">
        <f>'Tabell 2.5–2.6'!B43</f>
        <v>Tabell 2.6. Personal för infrastrukturarbeten och trafikledning – Tunnelbanan.</v>
      </c>
      <c r="B165" s="433"/>
      <c r="C165" s="433"/>
      <c r="D165" s="433"/>
      <c r="E165" s="433"/>
      <c r="F165" s="433"/>
      <c r="G165" s="433"/>
      <c r="H165" s="433"/>
      <c r="I165" s="433"/>
      <c r="J165" s="433"/>
      <c r="K165" s="433"/>
      <c r="L165" s="433"/>
      <c r="M165" s="433"/>
      <c r="N165" s="433"/>
      <c r="O165" s="433"/>
      <c r="P165" s="433"/>
      <c r="Q165" s="433"/>
      <c r="R165" s="433"/>
      <c r="S165" s="433"/>
      <c r="T165" s="266"/>
    </row>
    <row r="166" spans="1:20" s="265" customFormat="1" ht="5.25" customHeight="1">
      <c r="A166" s="268"/>
      <c r="B166" s="268"/>
      <c r="C166" s="268"/>
      <c r="D166" s="268"/>
      <c r="E166" s="268"/>
      <c r="F166" s="268"/>
      <c r="G166" s="268"/>
      <c r="H166" s="268"/>
      <c r="I166" s="268"/>
      <c r="J166" s="268"/>
      <c r="K166" s="268"/>
      <c r="L166" s="268"/>
      <c r="M166" s="268"/>
      <c r="N166" s="268"/>
      <c r="O166" s="268"/>
      <c r="P166" s="268"/>
      <c r="Q166" s="268"/>
      <c r="R166" s="268"/>
      <c r="S166" s="268"/>
      <c r="T166" s="266"/>
    </row>
    <row r="167" spans="1:20" s="265" customFormat="1" ht="105.75" customHeight="1">
      <c r="A167" s="427" t="s">
        <v>801</v>
      </c>
      <c r="B167" s="427"/>
      <c r="C167" s="427"/>
      <c r="D167" s="427"/>
      <c r="E167" s="427"/>
      <c r="F167" s="427"/>
      <c r="G167" s="427"/>
      <c r="H167" s="427"/>
      <c r="I167" s="427"/>
      <c r="J167" s="427"/>
      <c r="K167" s="427"/>
      <c r="L167" s="427"/>
      <c r="M167" s="427"/>
      <c r="N167" s="427"/>
      <c r="O167" s="427"/>
      <c r="P167" s="427"/>
      <c r="Q167" s="427"/>
      <c r="R167" s="427"/>
      <c r="S167" s="427"/>
      <c r="T167" s="266"/>
    </row>
    <row r="168" spans="1:20" s="265" customFormat="1" ht="5.25" customHeight="1">
      <c r="A168" s="268"/>
      <c r="B168" s="268"/>
      <c r="C168" s="268"/>
      <c r="D168" s="268"/>
      <c r="E168" s="268"/>
      <c r="F168" s="268"/>
      <c r="G168" s="268"/>
      <c r="H168" s="268"/>
      <c r="I168" s="268"/>
      <c r="J168" s="268"/>
      <c r="K168" s="268"/>
      <c r="L168" s="268"/>
      <c r="M168" s="268"/>
      <c r="N168" s="268"/>
      <c r="O168" s="268"/>
      <c r="P168" s="268"/>
      <c r="Q168" s="268"/>
      <c r="R168" s="268"/>
      <c r="S168" s="268"/>
      <c r="T168" s="266"/>
    </row>
    <row r="169" spans="1:20" s="265" customFormat="1" ht="15.75" customHeight="1">
      <c r="A169" s="427" t="s">
        <v>696</v>
      </c>
      <c r="B169" s="427"/>
      <c r="C169" s="427"/>
      <c r="D169" s="427"/>
      <c r="E169" s="427"/>
      <c r="F169" s="427"/>
      <c r="G169" s="427"/>
      <c r="H169" s="427"/>
      <c r="I169" s="427"/>
      <c r="J169" s="427"/>
      <c r="K169" s="427"/>
      <c r="L169" s="427"/>
      <c r="M169" s="427"/>
      <c r="N169" s="427"/>
      <c r="O169" s="427"/>
      <c r="P169" s="427"/>
      <c r="Q169" s="427"/>
      <c r="R169" s="427"/>
      <c r="S169" s="427"/>
      <c r="T169" s="266"/>
    </row>
    <row r="170" spans="1:20" s="265" customFormat="1" ht="5.25" customHeight="1">
      <c r="A170" s="268"/>
      <c r="B170" s="268"/>
      <c r="C170" s="268"/>
      <c r="D170" s="268"/>
      <c r="E170" s="268"/>
      <c r="F170" s="268"/>
      <c r="G170" s="268"/>
      <c r="H170" s="268"/>
      <c r="I170" s="268"/>
      <c r="J170" s="268"/>
      <c r="K170" s="268"/>
      <c r="L170" s="268"/>
      <c r="M170" s="268"/>
      <c r="N170" s="268"/>
      <c r="O170" s="268"/>
      <c r="P170" s="268"/>
      <c r="Q170" s="268"/>
      <c r="R170" s="268"/>
      <c r="S170" s="268"/>
      <c r="T170" s="266"/>
    </row>
    <row r="171" spans="1:20" s="265" customFormat="1" ht="15.75" customHeight="1">
      <c r="A171" s="427" t="s">
        <v>857</v>
      </c>
      <c r="B171" s="427"/>
      <c r="C171" s="427"/>
      <c r="D171" s="427"/>
      <c r="E171" s="427"/>
      <c r="F171" s="427"/>
      <c r="G171" s="427"/>
      <c r="H171" s="427"/>
      <c r="I171" s="427"/>
      <c r="J171" s="427"/>
      <c r="K171" s="427"/>
      <c r="L171" s="427"/>
      <c r="M171" s="427"/>
      <c r="N171" s="427"/>
      <c r="O171" s="427"/>
      <c r="P171" s="427"/>
      <c r="Q171" s="427"/>
      <c r="R171" s="427"/>
      <c r="S171" s="427"/>
      <c r="T171" s="266"/>
    </row>
    <row r="172" spans="1:20" s="265" customFormat="1" ht="5.25" customHeight="1">
      <c r="A172" s="268"/>
      <c r="B172" s="268"/>
      <c r="C172" s="268"/>
      <c r="D172" s="268"/>
      <c r="E172" s="268"/>
      <c r="F172" s="268"/>
      <c r="G172" s="268"/>
      <c r="H172" s="268"/>
      <c r="I172" s="268"/>
      <c r="J172" s="268"/>
      <c r="K172" s="268"/>
      <c r="L172" s="268"/>
      <c r="M172" s="268"/>
      <c r="N172" s="268"/>
      <c r="O172" s="268"/>
      <c r="P172" s="268"/>
      <c r="Q172" s="268"/>
      <c r="R172" s="268"/>
      <c r="S172" s="268"/>
      <c r="T172" s="266"/>
    </row>
    <row r="173" spans="1:20" s="265" customFormat="1" ht="15.75" customHeight="1">
      <c r="A173" s="427" t="s">
        <v>858</v>
      </c>
      <c r="B173" s="427"/>
      <c r="C173" s="427"/>
      <c r="D173" s="427"/>
      <c r="E173" s="427"/>
      <c r="F173" s="427"/>
      <c r="G173" s="427"/>
      <c r="H173" s="427"/>
      <c r="I173" s="427"/>
      <c r="J173" s="427"/>
      <c r="K173" s="427"/>
      <c r="L173" s="427"/>
      <c r="M173" s="427"/>
      <c r="N173" s="427"/>
      <c r="O173" s="427"/>
      <c r="P173" s="427"/>
      <c r="Q173" s="427"/>
      <c r="R173" s="427"/>
      <c r="S173" s="427"/>
      <c r="T173" s="266"/>
    </row>
    <row r="174" spans="1:20" s="265" customFormat="1" ht="5.25" customHeight="1">
      <c r="A174" s="268"/>
      <c r="B174" s="268"/>
      <c r="C174" s="268"/>
      <c r="D174" s="268"/>
      <c r="E174" s="268"/>
      <c r="F174" s="268"/>
      <c r="G174" s="268"/>
      <c r="H174" s="268"/>
      <c r="I174" s="268"/>
      <c r="J174" s="268"/>
      <c r="K174" s="268"/>
      <c r="L174" s="268"/>
      <c r="M174" s="268"/>
      <c r="N174" s="268"/>
      <c r="O174" s="268"/>
      <c r="P174" s="268"/>
      <c r="Q174" s="268"/>
      <c r="R174" s="268"/>
      <c r="S174" s="268"/>
      <c r="T174" s="266"/>
    </row>
    <row r="175" spans="1:20" s="265" customFormat="1" ht="15.75" customHeight="1">
      <c r="A175" s="426" t="str">
        <f>'Tabell 2.7'!B1</f>
        <v>Tabell 2.7. Infrastruktur, trafikerad banlängd efter län – Järnvägar.</v>
      </c>
      <c r="B175" s="433"/>
      <c r="C175" s="433"/>
      <c r="D175" s="433"/>
      <c r="E175" s="433"/>
      <c r="F175" s="433"/>
      <c r="G175" s="433"/>
      <c r="H175" s="433"/>
      <c r="I175" s="433"/>
      <c r="J175" s="433"/>
      <c r="K175" s="433"/>
      <c r="L175" s="433"/>
      <c r="M175" s="433"/>
      <c r="N175" s="433"/>
      <c r="O175" s="433"/>
      <c r="P175" s="433"/>
      <c r="Q175" s="433"/>
      <c r="R175" s="433"/>
      <c r="S175" s="433"/>
      <c r="T175" s="266"/>
    </row>
    <row r="176" spans="1:20" s="265" customFormat="1" ht="5.25" customHeight="1">
      <c r="A176" s="268"/>
      <c r="B176" s="268"/>
      <c r="C176" s="268"/>
      <c r="D176" s="268"/>
      <c r="E176" s="268"/>
      <c r="F176" s="268"/>
      <c r="G176" s="268"/>
      <c r="H176" s="268"/>
      <c r="I176" s="268"/>
      <c r="J176" s="268"/>
      <c r="K176" s="268"/>
      <c r="L176" s="268"/>
      <c r="M176" s="268"/>
      <c r="N176" s="268"/>
      <c r="O176" s="268"/>
      <c r="P176" s="268"/>
      <c r="Q176" s="268"/>
      <c r="R176" s="268"/>
      <c r="S176" s="268"/>
      <c r="T176" s="266"/>
    </row>
    <row r="177" spans="1:20" s="265" customFormat="1" ht="41.25" customHeight="1">
      <c r="A177" s="427" t="s">
        <v>758</v>
      </c>
      <c r="B177" s="427"/>
      <c r="C177" s="427"/>
      <c r="D177" s="427"/>
      <c r="E177" s="427"/>
      <c r="F177" s="427"/>
      <c r="G177" s="427"/>
      <c r="H177" s="427"/>
      <c r="I177" s="427"/>
      <c r="J177" s="427"/>
      <c r="K177" s="427"/>
      <c r="L177" s="427"/>
      <c r="M177" s="427"/>
      <c r="N177" s="427"/>
      <c r="O177" s="427"/>
      <c r="P177" s="427"/>
      <c r="Q177" s="427"/>
      <c r="R177" s="427"/>
      <c r="S177" s="427"/>
      <c r="T177" s="266"/>
    </row>
    <row r="178" spans="1:20" s="265" customFormat="1" ht="5.25" customHeight="1">
      <c r="A178" s="268"/>
      <c r="B178" s="268"/>
      <c r="C178" s="268"/>
      <c r="D178" s="268"/>
      <c r="E178" s="268"/>
      <c r="F178" s="268"/>
      <c r="G178" s="268"/>
      <c r="H178" s="268"/>
      <c r="I178" s="268"/>
      <c r="J178" s="268"/>
      <c r="K178" s="268"/>
      <c r="L178" s="268"/>
      <c r="M178" s="268"/>
      <c r="N178" s="268"/>
      <c r="O178" s="268"/>
      <c r="P178" s="268"/>
      <c r="Q178" s="268"/>
      <c r="R178" s="268"/>
      <c r="S178" s="268"/>
      <c r="T178" s="266"/>
    </row>
    <row r="179" spans="1:20" s="265" customFormat="1" ht="15.75" customHeight="1">
      <c r="A179" s="427" t="s">
        <v>700</v>
      </c>
      <c r="B179" s="427"/>
      <c r="C179" s="427"/>
      <c r="D179" s="427"/>
      <c r="E179" s="427"/>
      <c r="F179" s="427"/>
      <c r="G179" s="427"/>
      <c r="H179" s="427"/>
      <c r="I179" s="427"/>
      <c r="J179" s="427"/>
      <c r="K179" s="427"/>
      <c r="L179" s="427"/>
      <c r="M179" s="427"/>
      <c r="N179" s="427"/>
      <c r="O179" s="427"/>
      <c r="P179" s="427"/>
      <c r="Q179" s="427"/>
      <c r="R179" s="427"/>
      <c r="S179" s="427"/>
      <c r="T179" s="266"/>
    </row>
    <row r="180" spans="1:20" s="265" customFormat="1" ht="5.25" customHeight="1">
      <c r="A180" s="268"/>
      <c r="B180" s="268"/>
      <c r="C180" s="268"/>
      <c r="D180" s="268"/>
      <c r="E180" s="268"/>
      <c r="F180" s="268"/>
      <c r="G180" s="268"/>
      <c r="H180" s="268"/>
      <c r="I180" s="268"/>
      <c r="J180" s="268"/>
      <c r="K180" s="268"/>
      <c r="L180" s="268"/>
      <c r="M180" s="268"/>
      <c r="N180" s="268"/>
      <c r="O180" s="268"/>
      <c r="P180" s="268"/>
      <c r="Q180" s="268"/>
      <c r="R180" s="268"/>
      <c r="S180" s="268"/>
      <c r="T180" s="266"/>
    </row>
    <row r="181" spans="1:20" s="265" customFormat="1" ht="15.75" customHeight="1">
      <c r="A181" s="427" t="s">
        <v>701</v>
      </c>
      <c r="B181" s="427"/>
      <c r="C181" s="427"/>
      <c r="D181" s="427"/>
      <c r="E181" s="427"/>
      <c r="F181" s="427"/>
      <c r="G181" s="427"/>
      <c r="H181" s="427"/>
      <c r="I181" s="427"/>
      <c r="J181" s="427"/>
      <c r="K181" s="427"/>
      <c r="L181" s="427"/>
      <c r="M181" s="427"/>
      <c r="N181" s="427"/>
      <c r="O181" s="427"/>
      <c r="P181" s="427"/>
      <c r="Q181" s="427"/>
      <c r="R181" s="427"/>
      <c r="S181" s="427"/>
      <c r="T181" s="266"/>
    </row>
    <row r="182" spans="1:20" s="265" customFormat="1" ht="5.25" customHeight="1">
      <c r="A182" s="268"/>
      <c r="B182" s="268"/>
      <c r="C182" s="268"/>
      <c r="D182" s="268"/>
      <c r="E182" s="268"/>
      <c r="F182" s="268"/>
      <c r="G182" s="268"/>
      <c r="H182" s="268"/>
      <c r="I182" s="268"/>
      <c r="J182" s="268"/>
      <c r="K182" s="268"/>
      <c r="L182" s="268"/>
      <c r="M182" s="268"/>
      <c r="N182" s="268"/>
      <c r="O182" s="268"/>
      <c r="P182" s="268"/>
      <c r="Q182" s="268"/>
      <c r="R182" s="268"/>
      <c r="S182" s="268"/>
      <c r="T182" s="266"/>
    </row>
    <row r="183" spans="1:20" s="265" customFormat="1" ht="15.75" customHeight="1">
      <c r="A183" s="427" t="s">
        <v>702</v>
      </c>
      <c r="B183" s="427"/>
      <c r="C183" s="427"/>
      <c r="D183" s="427"/>
      <c r="E183" s="427"/>
      <c r="F183" s="427"/>
      <c r="G183" s="427"/>
      <c r="H183" s="427"/>
      <c r="I183" s="427"/>
      <c r="J183" s="427"/>
      <c r="K183" s="427"/>
      <c r="L183" s="427"/>
      <c r="M183" s="427"/>
      <c r="N183" s="427"/>
      <c r="O183" s="427"/>
      <c r="P183" s="427"/>
      <c r="Q183" s="427"/>
      <c r="R183" s="427"/>
      <c r="S183" s="427"/>
      <c r="T183" s="266"/>
    </row>
    <row r="184" spans="1:20" s="265" customFormat="1" ht="5.25" customHeight="1">
      <c r="A184" s="268"/>
      <c r="B184" s="268"/>
      <c r="C184" s="268"/>
      <c r="D184" s="268"/>
      <c r="E184" s="268"/>
      <c r="F184" s="268"/>
      <c r="G184" s="268"/>
      <c r="H184" s="268"/>
      <c r="I184" s="268"/>
      <c r="J184" s="268"/>
      <c r="K184" s="268"/>
      <c r="L184" s="268"/>
      <c r="M184" s="268"/>
      <c r="N184" s="268"/>
      <c r="O184" s="268"/>
      <c r="P184" s="268"/>
      <c r="Q184" s="268"/>
      <c r="R184" s="268"/>
      <c r="S184" s="268"/>
      <c r="T184" s="266"/>
    </row>
    <row r="185" spans="1:20" s="265" customFormat="1" ht="24" customHeight="1">
      <c r="A185" s="429" t="s">
        <v>1126</v>
      </c>
      <c r="B185" s="434"/>
      <c r="C185" s="434"/>
      <c r="D185" s="434"/>
      <c r="E185" s="434"/>
      <c r="F185" s="434"/>
      <c r="G185" s="434"/>
      <c r="H185" s="434"/>
      <c r="I185" s="434"/>
      <c r="J185" s="434"/>
      <c r="K185" s="434"/>
      <c r="L185" s="434"/>
      <c r="M185" s="434"/>
      <c r="N185" s="434"/>
      <c r="O185" s="434"/>
      <c r="P185" s="434"/>
      <c r="Q185" s="434"/>
      <c r="R185" s="434"/>
      <c r="S185" s="434"/>
      <c r="T185" s="266"/>
    </row>
    <row r="186" spans="1:20" s="265" customFormat="1" ht="5.25" customHeight="1">
      <c r="A186" s="268"/>
      <c r="B186" s="268"/>
      <c r="C186" s="268"/>
      <c r="D186" s="268"/>
      <c r="E186" s="268"/>
      <c r="F186" s="268"/>
      <c r="G186" s="268"/>
      <c r="H186" s="268"/>
      <c r="I186" s="268"/>
      <c r="J186" s="268"/>
      <c r="K186" s="268"/>
      <c r="L186" s="268"/>
      <c r="M186" s="268"/>
      <c r="N186" s="268"/>
      <c r="O186" s="268"/>
      <c r="P186" s="268"/>
      <c r="Q186" s="268"/>
      <c r="R186" s="268"/>
      <c r="S186" s="268"/>
      <c r="T186" s="266"/>
    </row>
    <row r="187" spans="1:20" s="265" customFormat="1" ht="262.95" customHeight="1">
      <c r="A187" s="427" t="s">
        <v>1131</v>
      </c>
      <c r="B187" s="427"/>
      <c r="C187" s="427"/>
      <c r="D187" s="427"/>
      <c r="E187" s="427"/>
      <c r="F187" s="427"/>
      <c r="G187" s="427"/>
      <c r="H187" s="427"/>
      <c r="I187" s="427"/>
      <c r="J187" s="427"/>
      <c r="K187" s="427"/>
      <c r="L187" s="427"/>
      <c r="M187" s="427"/>
      <c r="N187" s="427"/>
      <c r="O187" s="427"/>
      <c r="P187" s="427"/>
      <c r="Q187" s="427"/>
      <c r="R187" s="427"/>
      <c r="S187" s="427"/>
      <c r="T187" s="266"/>
    </row>
    <row r="188" spans="1:20" s="265" customFormat="1" ht="5.25" customHeight="1">
      <c r="A188" s="268"/>
      <c r="B188" s="268"/>
      <c r="C188" s="268"/>
      <c r="D188" s="268"/>
      <c r="E188" s="268"/>
      <c r="F188" s="268"/>
      <c r="G188" s="268"/>
      <c r="H188" s="268"/>
      <c r="I188" s="268"/>
      <c r="J188" s="268"/>
      <c r="K188" s="268"/>
      <c r="L188" s="268"/>
      <c r="M188" s="268"/>
      <c r="N188" s="268"/>
      <c r="O188" s="268"/>
      <c r="P188" s="268"/>
      <c r="Q188" s="268"/>
      <c r="R188" s="268"/>
      <c r="S188" s="268"/>
      <c r="T188" s="266"/>
    </row>
    <row r="189" spans="1:20" s="265" customFormat="1" ht="15.75" customHeight="1">
      <c r="A189" s="426" t="str">
        <f>'Tabell 3.1–3.3'!B1</f>
        <v>Tabell 3.1. Dragfordon – Järnvägar.</v>
      </c>
      <c r="B189" s="433"/>
      <c r="C189" s="433"/>
      <c r="D189" s="433"/>
      <c r="E189" s="433"/>
      <c r="F189" s="433"/>
      <c r="G189" s="433"/>
      <c r="H189" s="433"/>
      <c r="I189" s="433"/>
      <c r="J189" s="433"/>
      <c r="K189" s="433"/>
      <c r="L189" s="433"/>
      <c r="M189" s="433"/>
      <c r="N189" s="433"/>
      <c r="O189" s="433"/>
      <c r="P189" s="433"/>
      <c r="Q189" s="433"/>
      <c r="R189" s="433"/>
      <c r="S189" s="433"/>
      <c r="T189" s="266"/>
    </row>
    <row r="190" spans="1:20" s="265" customFormat="1" ht="5.25" customHeight="1">
      <c r="A190" s="268"/>
      <c r="B190" s="268"/>
      <c r="C190" s="268"/>
      <c r="D190" s="268"/>
      <c r="E190" s="268"/>
      <c r="F190" s="268"/>
      <c r="G190" s="268"/>
      <c r="H190" s="268"/>
      <c r="I190" s="268"/>
      <c r="J190" s="268"/>
      <c r="K190" s="268"/>
      <c r="L190" s="268"/>
      <c r="M190" s="268"/>
      <c r="N190" s="268"/>
      <c r="O190" s="268"/>
      <c r="P190" s="268"/>
      <c r="Q190" s="268"/>
      <c r="R190" s="268"/>
      <c r="S190" s="268"/>
      <c r="T190" s="266"/>
    </row>
    <row r="191" spans="1:20" s="265" customFormat="1" ht="42" customHeight="1">
      <c r="A191" s="427" t="s">
        <v>773</v>
      </c>
      <c r="B191" s="427"/>
      <c r="C191" s="427"/>
      <c r="D191" s="427"/>
      <c r="E191" s="427"/>
      <c r="F191" s="427"/>
      <c r="G191" s="427"/>
      <c r="H191" s="427"/>
      <c r="I191" s="427"/>
      <c r="J191" s="427"/>
      <c r="K191" s="427"/>
      <c r="L191" s="427"/>
      <c r="M191" s="427"/>
      <c r="N191" s="427"/>
      <c r="O191" s="427"/>
      <c r="P191" s="427"/>
      <c r="Q191" s="427"/>
      <c r="R191" s="427"/>
      <c r="S191" s="427"/>
      <c r="T191" s="266"/>
    </row>
    <row r="192" spans="1:20" s="265" customFormat="1" ht="5.25" customHeight="1">
      <c r="A192" s="268"/>
      <c r="B192" s="268"/>
      <c r="C192" s="268"/>
      <c r="D192" s="268"/>
      <c r="E192" s="268"/>
      <c r="F192" s="268"/>
      <c r="G192" s="268"/>
      <c r="H192" s="268"/>
      <c r="I192" s="268"/>
      <c r="J192" s="268"/>
      <c r="K192" s="268"/>
      <c r="L192" s="268"/>
      <c r="M192" s="268"/>
      <c r="N192" s="268"/>
      <c r="O192" s="268"/>
      <c r="P192" s="268"/>
      <c r="Q192" s="268"/>
      <c r="R192" s="268"/>
      <c r="S192" s="268"/>
      <c r="T192" s="266"/>
    </row>
    <row r="193" spans="1:20" s="265" customFormat="1" ht="54.75" customHeight="1">
      <c r="A193" s="427" t="s">
        <v>774</v>
      </c>
      <c r="B193" s="427"/>
      <c r="C193" s="427"/>
      <c r="D193" s="427"/>
      <c r="E193" s="427"/>
      <c r="F193" s="427"/>
      <c r="G193" s="427"/>
      <c r="H193" s="427"/>
      <c r="I193" s="427"/>
      <c r="J193" s="427"/>
      <c r="K193" s="427"/>
      <c r="L193" s="427"/>
      <c r="M193" s="427"/>
      <c r="N193" s="427"/>
      <c r="O193" s="427"/>
      <c r="P193" s="427"/>
      <c r="Q193" s="427"/>
      <c r="R193" s="427"/>
      <c r="S193" s="427"/>
      <c r="T193" s="266"/>
    </row>
    <row r="194" spans="1:20" s="265" customFormat="1" ht="5.25" customHeight="1">
      <c r="A194" s="268"/>
      <c r="B194" s="268"/>
      <c r="C194" s="268"/>
      <c r="D194" s="268"/>
      <c r="E194" s="268"/>
      <c r="F194" s="268"/>
      <c r="G194" s="268"/>
      <c r="H194" s="268"/>
      <c r="I194" s="268"/>
      <c r="J194" s="268"/>
      <c r="K194" s="268"/>
      <c r="L194" s="268"/>
      <c r="M194" s="268"/>
      <c r="N194" s="268"/>
      <c r="O194" s="268"/>
      <c r="P194" s="268"/>
      <c r="Q194" s="268"/>
      <c r="R194" s="268"/>
      <c r="S194" s="268"/>
      <c r="T194" s="266"/>
    </row>
    <row r="195" spans="1:20" s="265" customFormat="1" ht="156" customHeight="1">
      <c r="A195" s="427" t="s">
        <v>756</v>
      </c>
      <c r="B195" s="427"/>
      <c r="C195" s="427"/>
      <c r="D195" s="427"/>
      <c r="E195" s="427"/>
      <c r="F195" s="427"/>
      <c r="G195" s="427"/>
      <c r="H195" s="427"/>
      <c r="I195" s="427"/>
      <c r="J195" s="427"/>
      <c r="K195" s="427"/>
      <c r="L195" s="427"/>
      <c r="M195" s="427"/>
      <c r="N195" s="427"/>
      <c r="O195" s="427"/>
      <c r="P195" s="427"/>
      <c r="Q195" s="427"/>
      <c r="R195" s="427"/>
      <c r="S195" s="427"/>
      <c r="T195" s="266"/>
    </row>
    <row r="196" spans="1:20" s="265" customFormat="1" ht="5.25" customHeight="1">
      <c r="A196" s="268"/>
      <c r="B196" s="268"/>
      <c r="C196" s="268"/>
      <c r="D196" s="268"/>
      <c r="E196" s="268"/>
      <c r="F196" s="268"/>
      <c r="G196" s="268"/>
      <c r="H196" s="268"/>
      <c r="I196" s="268"/>
      <c r="J196" s="268"/>
      <c r="K196" s="268"/>
      <c r="L196" s="268"/>
      <c r="M196" s="268"/>
      <c r="N196" s="268"/>
      <c r="O196" s="268"/>
      <c r="P196" s="268"/>
      <c r="Q196" s="268"/>
      <c r="R196" s="268"/>
      <c r="S196" s="268"/>
      <c r="T196" s="266"/>
    </row>
    <row r="197" spans="1:20" s="265" customFormat="1" ht="79.5" customHeight="1">
      <c r="A197" s="427" t="s">
        <v>802</v>
      </c>
      <c r="B197" s="427"/>
      <c r="C197" s="427"/>
      <c r="D197" s="427"/>
      <c r="E197" s="427"/>
      <c r="F197" s="427"/>
      <c r="G197" s="427"/>
      <c r="H197" s="427"/>
      <c r="I197" s="427"/>
      <c r="J197" s="427"/>
      <c r="K197" s="427"/>
      <c r="L197" s="427"/>
      <c r="M197" s="427"/>
      <c r="N197" s="427"/>
      <c r="O197" s="427"/>
      <c r="P197" s="427"/>
      <c r="Q197" s="427"/>
      <c r="R197" s="427"/>
      <c r="S197" s="427"/>
      <c r="T197" s="266"/>
    </row>
    <row r="198" spans="1:20" s="265" customFormat="1" ht="5.25" customHeight="1">
      <c r="A198" s="268"/>
      <c r="B198" s="268"/>
      <c r="C198" s="268"/>
      <c r="D198" s="268"/>
      <c r="E198" s="268"/>
      <c r="F198" s="268"/>
      <c r="G198" s="268"/>
      <c r="H198" s="268"/>
      <c r="I198" s="268"/>
      <c r="J198" s="268"/>
      <c r="K198" s="268"/>
      <c r="L198" s="268"/>
      <c r="M198" s="268"/>
      <c r="N198" s="268"/>
      <c r="O198" s="268"/>
      <c r="P198" s="268"/>
      <c r="Q198" s="268"/>
      <c r="R198" s="268"/>
      <c r="S198" s="268"/>
      <c r="T198" s="266"/>
    </row>
    <row r="199" spans="1:20" s="265" customFormat="1" ht="13.5" customHeight="1">
      <c r="A199" s="427" t="s">
        <v>775</v>
      </c>
      <c r="B199" s="427"/>
      <c r="C199" s="427"/>
      <c r="D199" s="427"/>
      <c r="E199" s="427"/>
      <c r="F199" s="427"/>
      <c r="G199" s="427"/>
      <c r="H199" s="427"/>
      <c r="I199" s="427"/>
      <c r="J199" s="427"/>
      <c r="K199" s="427"/>
      <c r="L199" s="427"/>
      <c r="M199" s="427"/>
      <c r="N199" s="427"/>
      <c r="O199" s="427"/>
      <c r="P199" s="427"/>
      <c r="Q199" s="427"/>
      <c r="R199" s="427"/>
      <c r="S199" s="427"/>
      <c r="T199" s="266"/>
    </row>
    <row r="200" spans="1:20" s="265" customFormat="1" ht="5.25" customHeight="1">
      <c r="A200" s="268"/>
      <c r="B200" s="268"/>
      <c r="C200" s="268"/>
      <c r="D200" s="268"/>
      <c r="E200" s="268"/>
      <c r="F200" s="268"/>
      <c r="G200" s="268"/>
      <c r="H200" s="268"/>
      <c r="I200" s="268"/>
      <c r="J200" s="268"/>
      <c r="K200" s="268"/>
      <c r="L200" s="268"/>
      <c r="M200" s="268"/>
      <c r="N200" s="268"/>
      <c r="O200" s="268"/>
      <c r="P200" s="268"/>
      <c r="Q200" s="268"/>
      <c r="R200" s="268"/>
      <c r="S200" s="268"/>
      <c r="T200" s="266"/>
    </row>
    <row r="201" spans="1:20" s="265" customFormat="1" ht="45.75" customHeight="1">
      <c r="A201" s="430" t="s">
        <v>1132</v>
      </c>
      <c r="B201" s="427"/>
      <c r="C201" s="427"/>
      <c r="D201" s="427"/>
      <c r="E201" s="427"/>
      <c r="F201" s="427"/>
      <c r="G201" s="427"/>
      <c r="H201" s="427"/>
      <c r="I201" s="427"/>
      <c r="J201" s="427"/>
      <c r="K201" s="427"/>
      <c r="L201" s="427"/>
      <c r="M201" s="427"/>
      <c r="N201" s="427"/>
      <c r="O201" s="427"/>
      <c r="P201" s="427"/>
      <c r="Q201" s="427"/>
      <c r="R201" s="427"/>
      <c r="S201" s="427"/>
      <c r="T201" s="266"/>
    </row>
    <row r="202" spans="1:20" s="265" customFormat="1" ht="5.25" customHeight="1">
      <c r="A202" s="268"/>
      <c r="B202" s="268"/>
      <c r="C202" s="268"/>
      <c r="D202" s="268"/>
      <c r="E202" s="268"/>
      <c r="F202" s="268"/>
      <c r="G202" s="268"/>
      <c r="H202" s="268"/>
      <c r="I202" s="268"/>
      <c r="J202" s="268"/>
      <c r="K202" s="268"/>
      <c r="L202" s="268"/>
      <c r="M202" s="268"/>
      <c r="N202" s="268"/>
      <c r="O202" s="268"/>
      <c r="P202" s="268"/>
      <c r="Q202" s="268"/>
      <c r="R202" s="268"/>
      <c r="S202" s="268"/>
      <c r="T202" s="266"/>
    </row>
    <row r="203" spans="1:20" s="265" customFormat="1" ht="15.75" customHeight="1">
      <c r="A203" s="426" t="str">
        <f>'Tabell 3.1–3.3'!B74</f>
        <v>Tabell 3.2. Dragfordon – Spårvägar.</v>
      </c>
      <c r="B203" s="433"/>
      <c r="C203" s="433"/>
      <c r="D203" s="433"/>
      <c r="E203" s="433"/>
      <c r="F203" s="433"/>
      <c r="G203" s="433"/>
      <c r="H203" s="433"/>
      <c r="I203" s="433"/>
      <c r="J203" s="433"/>
      <c r="K203" s="433"/>
      <c r="L203" s="433"/>
      <c r="M203" s="433"/>
      <c r="N203" s="433"/>
      <c r="O203" s="433"/>
      <c r="P203" s="433"/>
      <c r="Q203" s="433"/>
      <c r="R203" s="433"/>
      <c r="S203" s="433"/>
      <c r="T203" s="266"/>
    </row>
    <row r="204" spans="1:20" s="265" customFormat="1" ht="5.25" customHeight="1">
      <c r="A204" s="268"/>
      <c r="B204" s="268"/>
      <c r="C204" s="268"/>
      <c r="D204" s="268"/>
      <c r="E204" s="268"/>
      <c r="F204" s="268"/>
      <c r="G204" s="268"/>
      <c r="H204" s="268"/>
      <c r="I204" s="268"/>
      <c r="J204" s="268"/>
      <c r="K204" s="268"/>
      <c r="L204" s="268"/>
      <c r="M204" s="268"/>
      <c r="N204" s="268"/>
      <c r="O204" s="268"/>
      <c r="P204" s="268"/>
      <c r="Q204" s="268"/>
      <c r="R204" s="268"/>
      <c r="S204" s="268"/>
      <c r="T204" s="266"/>
    </row>
    <row r="205" spans="1:20" s="265" customFormat="1" ht="42.75" customHeight="1">
      <c r="A205" s="427" t="s">
        <v>1134</v>
      </c>
      <c r="B205" s="427"/>
      <c r="C205" s="427"/>
      <c r="D205" s="427"/>
      <c r="E205" s="427"/>
      <c r="F205" s="427"/>
      <c r="G205" s="427"/>
      <c r="H205" s="427"/>
      <c r="I205" s="427"/>
      <c r="J205" s="427"/>
      <c r="K205" s="427"/>
      <c r="L205" s="427"/>
      <c r="M205" s="427"/>
      <c r="N205" s="427"/>
      <c r="O205" s="427"/>
      <c r="P205" s="427"/>
      <c r="Q205" s="427"/>
      <c r="R205" s="427"/>
      <c r="S205" s="427"/>
      <c r="T205" s="266"/>
    </row>
    <row r="206" spans="1:20" s="265" customFormat="1" ht="5.25" customHeight="1">
      <c r="A206" s="268"/>
      <c r="B206" s="268"/>
      <c r="C206" s="268"/>
      <c r="D206" s="268"/>
      <c r="E206" s="268"/>
      <c r="F206" s="268"/>
      <c r="G206" s="268"/>
      <c r="H206" s="268"/>
      <c r="I206" s="268"/>
      <c r="J206" s="268"/>
      <c r="K206" s="268"/>
      <c r="L206" s="268"/>
      <c r="M206" s="268"/>
      <c r="N206" s="268"/>
      <c r="O206" s="268"/>
      <c r="P206" s="268"/>
      <c r="Q206" s="268"/>
      <c r="R206" s="268"/>
      <c r="S206" s="268"/>
      <c r="T206" s="266"/>
    </row>
    <row r="207" spans="1:20" s="265" customFormat="1" ht="15.75" customHeight="1">
      <c r="A207" s="426" t="str">
        <f>'Tabell 3.1–3.3'!B86</f>
        <v>Tabell 3.3. Dragfordon – Tunnelbanan.</v>
      </c>
      <c r="B207" s="427"/>
      <c r="C207" s="427"/>
      <c r="D207" s="427"/>
      <c r="E207" s="427"/>
      <c r="F207" s="427"/>
      <c r="G207" s="427"/>
      <c r="H207" s="427"/>
      <c r="I207" s="427"/>
      <c r="J207" s="427"/>
      <c r="K207" s="427"/>
      <c r="L207" s="427"/>
      <c r="M207" s="427"/>
      <c r="N207" s="427"/>
      <c r="O207" s="427"/>
      <c r="P207" s="427"/>
      <c r="Q207" s="427"/>
      <c r="R207" s="427"/>
      <c r="S207" s="427"/>
      <c r="T207" s="266"/>
    </row>
    <row r="208" spans="1:20" s="265" customFormat="1" ht="5.25" customHeight="1">
      <c r="A208" s="268"/>
      <c r="B208" s="268"/>
      <c r="C208" s="268"/>
      <c r="D208" s="268"/>
      <c r="E208" s="268"/>
      <c r="F208" s="268"/>
      <c r="G208" s="268"/>
      <c r="H208" s="268"/>
      <c r="I208" s="268"/>
      <c r="J208" s="268"/>
      <c r="K208" s="268"/>
      <c r="L208" s="268"/>
      <c r="M208" s="268"/>
      <c r="N208" s="268"/>
      <c r="O208" s="268"/>
      <c r="P208" s="268"/>
      <c r="Q208" s="268"/>
      <c r="R208" s="268"/>
      <c r="S208" s="268"/>
      <c r="T208" s="266"/>
    </row>
    <row r="209" spans="1:20" s="265" customFormat="1" ht="42" customHeight="1">
      <c r="A209" s="427" t="s">
        <v>1133</v>
      </c>
      <c r="B209" s="427"/>
      <c r="C209" s="427"/>
      <c r="D209" s="427"/>
      <c r="E209" s="427"/>
      <c r="F209" s="427"/>
      <c r="G209" s="427"/>
      <c r="H209" s="427"/>
      <c r="I209" s="427"/>
      <c r="J209" s="427"/>
      <c r="K209" s="427"/>
      <c r="L209" s="427"/>
      <c r="M209" s="427"/>
      <c r="N209" s="427"/>
      <c r="O209" s="427"/>
      <c r="P209" s="427"/>
      <c r="Q209" s="427"/>
      <c r="R209" s="427"/>
      <c r="S209" s="427"/>
      <c r="T209" s="266"/>
    </row>
    <row r="210" spans="1:20" s="265" customFormat="1" ht="5.25" customHeight="1">
      <c r="A210" s="268"/>
      <c r="B210" s="268"/>
      <c r="C210" s="268"/>
      <c r="D210" s="268"/>
      <c r="E210" s="268"/>
      <c r="F210" s="268"/>
      <c r="G210" s="268"/>
      <c r="H210" s="268"/>
      <c r="I210" s="268"/>
      <c r="J210" s="268"/>
      <c r="K210" s="268"/>
      <c r="L210" s="268"/>
      <c r="M210" s="268"/>
      <c r="N210" s="268"/>
      <c r="O210" s="268"/>
      <c r="P210" s="268"/>
      <c r="Q210" s="268"/>
      <c r="R210" s="268"/>
      <c r="S210" s="268"/>
      <c r="T210" s="266"/>
    </row>
    <row r="211" spans="1:20" s="265" customFormat="1" ht="15.75" customHeight="1">
      <c r="A211" s="426" t="str">
        <f>'Tabell 3.4'!B1</f>
        <v>Tabell 3.4. Transportfordon godstrafik – Järnvägar.</v>
      </c>
      <c r="B211" s="433"/>
      <c r="C211" s="433"/>
      <c r="D211" s="433"/>
      <c r="E211" s="433"/>
      <c r="F211" s="433"/>
      <c r="G211" s="433"/>
      <c r="H211" s="433"/>
      <c r="I211" s="433"/>
      <c r="J211" s="433"/>
      <c r="K211" s="433"/>
      <c r="L211" s="433"/>
      <c r="M211" s="433"/>
      <c r="N211" s="433"/>
      <c r="O211" s="433"/>
      <c r="P211" s="433"/>
      <c r="Q211" s="433"/>
      <c r="R211" s="433"/>
      <c r="S211" s="433"/>
      <c r="T211" s="266"/>
    </row>
    <row r="212" spans="1:20" s="265" customFormat="1" ht="5.25" customHeight="1">
      <c r="A212" s="268"/>
      <c r="B212" s="268"/>
      <c r="C212" s="268"/>
      <c r="D212" s="268"/>
      <c r="E212" s="268"/>
      <c r="F212" s="268"/>
      <c r="G212" s="268"/>
      <c r="H212" s="268"/>
      <c r="I212" s="268"/>
      <c r="J212" s="268"/>
      <c r="K212" s="268"/>
      <c r="L212" s="268"/>
      <c r="M212" s="268"/>
      <c r="N212" s="268"/>
      <c r="O212" s="268"/>
      <c r="P212" s="268"/>
      <c r="Q212" s="268"/>
      <c r="R212" s="268"/>
      <c r="S212" s="268"/>
      <c r="T212" s="266"/>
    </row>
    <row r="213" spans="1:20" s="265" customFormat="1" ht="41.25" customHeight="1">
      <c r="A213" s="427" t="s">
        <v>768</v>
      </c>
      <c r="B213" s="427"/>
      <c r="C213" s="427"/>
      <c r="D213" s="427"/>
      <c r="E213" s="427"/>
      <c r="F213" s="427"/>
      <c r="G213" s="427"/>
      <c r="H213" s="427"/>
      <c r="I213" s="427"/>
      <c r="J213" s="427"/>
      <c r="K213" s="427"/>
      <c r="L213" s="427"/>
      <c r="M213" s="427"/>
      <c r="N213" s="427"/>
      <c r="O213" s="427"/>
      <c r="P213" s="427"/>
      <c r="Q213" s="427"/>
      <c r="R213" s="427"/>
      <c r="S213" s="427"/>
      <c r="T213" s="266"/>
    </row>
    <row r="214" spans="1:20" s="265" customFormat="1" ht="5.25" customHeight="1">
      <c r="A214" s="268"/>
      <c r="B214" s="268"/>
      <c r="C214" s="268"/>
      <c r="D214" s="268"/>
      <c r="E214" s="268"/>
      <c r="F214" s="268"/>
      <c r="G214" s="268"/>
      <c r="H214" s="268"/>
      <c r="I214" s="268"/>
      <c r="J214" s="268"/>
      <c r="K214" s="268"/>
      <c r="L214" s="268"/>
      <c r="M214" s="268"/>
      <c r="N214" s="268"/>
      <c r="O214" s="268"/>
      <c r="P214" s="268"/>
      <c r="Q214" s="268"/>
      <c r="R214" s="268"/>
      <c r="S214" s="268"/>
      <c r="T214" s="266"/>
    </row>
    <row r="215" spans="1:20" s="265" customFormat="1" ht="54" customHeight="1">
      <c r="A215" s="427" t="s">
        <v>754</v>
      </c>
      <c r="B215" s="427"/>
      <c r="C215" s="427"/>
      <c r="D215" s="427"/>
      <c r="E215" s="427"/>
      <c r="F215" s="427"/>
      <c r="G215" s="427"/>
      <c r="H215" s="427"/>
      <c r="I215" s="427"/>
      <c r="J215" s="427"/>
      <c r="K215" s="427"/>
      <c r="L215" s="427"/>
      <c r="M215" s="427"/>
      <c r="N215" s="427"/>
      <c r="O215" s="427"/>
      <c r="P215" s="427"/>
      <c r="Q215" s="427"/>
      <c r="R215" s="427"/>
      <c r="S215" s="427"/>
      <c r="T215" s="266"/>
    </row>
    <row r="216" spans="1:20" s="265" customFormat="1" ht="5.25" customHeight="1">
      <c r="A216" s="268"/>
      <c r="B216" s="268"/>
      <c r="C216" s="268"/>
      <c r="D216" s="268"/>
      <c r="E216" s="268"/>
      <c r="F216" s="268"/>
      <c r="G216" s="268"/>
      <c r="H216" s="268"/>
      <c r="I216" s="268"/>
      <c r="J216" s="268"/>
      <c r="K216" s="268"/>
      <c r="L216" s="268"/>
      <c r="M216" s="268"/>
      <c r="N216" s="268"/>
      <c r="O216" s="268"/>
      <c r="P216" s="268"/>
      <c r="Q216" s="268"/>
      <c r="R216" s="268"/>
      <c r="S216" s="268"/>
      <c r="T216" s="266"/>
    </row>
    <row r="217" spans="1:20" s="265" customFormat="1" ht="41.25" customHeight="1">
      <c r="A217" s="427" t="s">
        <v>803</v>
      </c>
      <c r="B217" s="427"/>
      <c r="C217" s="427"/>
      <c r="D217" s="427"/>
      <c r="E217" s="427"/>
      <c r="F217" s="427"/>
      <c r="G217" s="427"/>
      <c r="H217" s="427"/>
      <c r="I217" s="427"/>
      <c r="J217" s="427"/>
      <c r="K217" s="427"/>
      <c r="L217" s="427"/>
      <c r="M217" s="427"/>
      <c r="N217" s="427"/>
      <c r="O217" s="427"/>
      <c r="P217" s="427"/>
      <c r="Q217" s="427"/>
      <c r="R217" s="427"/>
      <c r="S217" s="427"/>
      <c r="T217" s="266"/>
    </row>
    <row r="218" spans="1:20" s="265" customFormat="1" ht="5.25" customHeight="1">
      <c r="A218" s="268"/>
      <c r="B218" s="268"/>
      <c r="C218" s="268"/>
      <c r="D218" s="268"/>
      <c r="E218" s="268"/>
      <c r="F218" s="268"/>
      <c r="G218" s="268"/>
      <c r="H218" s="268"/>
      <c r="I218" s="268"/>
      <c r="J218" s="268"/>
      <c r="K218" s="268"/>
      <c r="L218" s="268"/>
      <c r="M218" s="268"/>
      <c r="N218" s="268"/>
      <c r="O218" s="268"/>
      <c r="P218" s="268"/>
      <c r="Q218" s="268"/>
      <c r="R218" s="268"/>
      <c r="S218" s="268"/>
      <c r="T218" s="266"/>
    </row>
    <row r="219" spans="1:20" s="265" customFormat="1" ht="42.75" customHeight="1">
      <c r="A219" s="427" t="s">
        <v>804</v>
      </c>
      <c r="B219" s="427"/>
      <c r="C219" s="427"/>
      <c r="D219" s="427"/>
      <c r="E219" s="427"/>
      <c r="F219" s="427"/>
      <c r="G219" s="427"/>
      <c r="H219" s="427"/>
      <c r="I219" s="427"/>
      <c r="J219" s="427"/>
      <c r="K219" s="427"/>
      <c r="L219" s="427"/>
      <c r="M219" s="427"/>
      <c r="N219" s="427"/>
      <c r="O219" s="427"/>
      <c r="P219" s="427"/>
      <c r="Q219" s="427"/>
      <c r="R219" s="427"/>
      <c r="S219" s="427"/>
      <c r="T219" s="266"/>
    </row>
    <row r="220" spans="1:20" s="265" customFormat="1" ht="5.25" customHeight="1">
      <c r="A220" s="268"/>
      <c r="B220" s="268"/>
      <c r="C220" s="268"/>
      <c r="D220" s="268"/>
      <c r="E220" s="268"/>
      <c r="F220" s="268"/>
      <c r="G220" s="268"/>
      <c r="H220" s="268"/>
      <c r="I220" s="268"/>
      <c r="J220" s="268"/>
      <c r="K220" s="268"/>
      <c r="L220" s="268"/>
      <c r="M220" s="268"/>
      <c r="N220" s="268"/>
      <c r="O220" s="268"/>
      <c r="P220" s="268"/>
      <c r="Q220" s="268"/>
      <c r="R220" s="268"/>
      <c r="S220" s="268"/>
      <c r="T220" s="266"/>
    </row>
    <row r="221" spans="1:20" s="265" customFormat="1" ht="69" customHeight="1">
      <c r="A221" s="427" t="s">
        <v>805</v>
      </c>
      <c r="B221" s="427"/>
      <c r="C221" s="427"/>
      <c r="D221" s="427"/>
      <c r="E221" s="427"/>
      <c r="F221" s="427"/>
      <c r="G221" s="427"/>
      <c r="H221" s="427"/>
      <c r="I221" s="427"/>
      <c r="J221" s="427"/>
      <c r="K221" s="427"/>
      <c r="L221" s="427"/>
      <c r="M221" s="427"/>
      <c r="N221" s="427"/>
      <c r="O221" s="427"/>
      <c r="P221" s="427"/>
      <c r="Q221" s="427"/>
      <c r="R221" s="427"/>
      <c r="S221" s="427"/>
      <c r="T221" s="266"/>
    </row>
    <row r="222" spans="1:20" s="265" customFormat="1" ht="5.25" customHeight="1">
      <c r="A222" s="268"/>
      <c r="B222" s="268"/>
      <c r="C222" s="268"/>
      <c r="D222" s="268"/>
      <c r="E222" s="268"/>
      <c r="F222" s="268"/>
      <c r="G222" s="268"/>
      <c r="H222" s="268"/>
      <c r="I222" s="268"/>
      <c r="J222" s="268"/>
      <c r="K222" s="268"/>
      <c r="L222" s="268"/>
      <c r="M222" s="268"/>
      <c r="N222" s="268"/>
      <c r="O222" s="268"/>
      <c r="P222" s="268"/>
      <c r="Q222" s="268"/>
      <c r="R222" s="268"/>
      <c r="S222" s="268"/>
      <c r="T222" s="266"/>
    </row>
    <row r="223" spans="1:20" s="265" customFormat="1" ht="15.75" customHeight="1">
      <c r="A223" s="427" t="s">
        <v>703</v>
      </c>
      <c r="B223" s="427"/>
      <c r="C223" s="427"/>
      <c r="D223" s="427"/>
      <c r="E223" s="427"/>
      <c r="F223" s="427"/>
      <c r="G223" s="427"/>
      <c r="H223" s="427"/>
      <c r="I223" s="427"/>
      <c r="J223" s="427"/>
      <c r="K223" s="427"/>
      <c r="L223" s="427"/>
      <c r="M223" s="427"/>
      <c r="N223" s="427"/>
      <c r="O223" s="427"/>
      <c r="P223" s="427"/>
      <c r="Q223" s="427"/>
      <c r="R223" s="427"/>
      <c r="S223" s="427"/>
      <c r="T223" s="266"/>
    </row>
    <row r="224" spans="1:20" s="265" customFormat="1" ht="5.25" customHeight="1">
      <c r="A224" s="268"/>
      <c r="B224" s="268"/>
      <c r="C224" s="268"/>
      <c r="D224" s="268"/>
      <c r="E224" s="268"/>
      <c r="F224" s="268"/>
      <c r="G224" s="268"/>
      <c r="H224" s="268"/>
      <c r="I224" s="268"/>
      <c r="J224" s="268"/>
      <c r="K224" s="268"/>
      <c r="L224" s="268"/>
      <c r="M224" s="268"/>
      <c r="N224" s="268"/>
      <c r="O224" s="268"/>
      <c r="P224" s="268"/>
      <c r="Q224" s="268"/>
      <c r="R224" s="268"/>
      <c r="S224" s="268"/>
      <c r="T224" s="266"/>
    </row>
    <row r="225" spans="1:20" s="265" customFormat="1" ht="15.75" customHeight="1">
      <c r="A225" s="427" t="s">
        <v>704</v>
      </c>
      <c r="B225" s="427"/>
      <c r="C225" s="427"/>
      <c r="D225" s="427"/>
      <c r="E225" s="427"/>
      <c r="F225" s="427"/>
      <c r="G225" s="427"/>
      <c r="H225" s="427"/>
      <c r="I225" s="427"/>
      <c r="J225" s="427"/>
      <c r="K225" s="427"/>
      <c r="L225" s="427"/>
      <c r="M225" s="427"/>
      <c r="N225" s="427"/>
      <c r="O225" s="427"/>
      <c r="P225" s="427"/>
      <c r="Q225" s="427"/>
      <c r="R225" s="427"/>
      <c r="S225" s="427"/>
      <c r="T225" s="266"/>
    </row>
    <row r="226" spans="1:20" s="265" customFormat="1" ht="5.25" customHeight="1">
      <c r="A226" s="268"/>
      <c r="B226" s="268"/>
      <c r="C226" s="268"/>
      <c r="D226" s="268"/>
      <c r="E226" s="268"/>
      <c r="F226" s="268"/>
      <c r="G226" s="268"/>
      <c r="H226" s="268"/>
      <c r="I226" s="268"/>
      <c r="J226" s="268"/>
      <c r="K226" s="268"/>
      <c r="L226" s="268"/>
      <c r="M226" s="268"/>
      <c r="N226" s="268"/>
      <c r="O226" s="268"/>
      <c r="P226" s="268"/>
      <c r="Q226" s="268"/>
      <c r="R226" s="268"/>
      <c r="S226" s="268"/>
      <c r="T226" s="266"/>
    </row>
    <row r="227" spans="1:20" s="265" customFormat="1" ht="28.5" customHeight="1">
      <c r="A227" s="427" t="s">
        <v>705</v>
      </c>
      <c r="B227" s="427"/>
      <c r="C227" s="427"/>
      <c r="D227" s="427"/>
      <c r="E227" s="427"/>
      <c r="F227" s="427"/>
      <c r="G227" s="427"/>
      <c r="H227" s="427"/>
      <c r="I227" s="427"/>
      <c r="J227" s="427"/>
      <c r="K227" s="427"/>
      <c r="L227" s="427"/>
      <c r="M227" s="427"/>
      <c r="N227" s="427"/>
      <c r="O227" s="427"/>
      <c r="P227" s="427"/>
      <c r="Q227" s="427"/>
      <c r="R227" s="427"/>
      <c r="S227" s="427"/>
      <c r="T227" s="266"/>
    </row>
    <row r="228" spans="1:20" s="265" customFormat="1" ht="5.25" customHeight="1">
      <c r="A228" s="268"/>
      <c r="B228" s="268"/>
      <c r="C228" s="268"/>
      <c r="D228" s="268"/>
      <c r="E228" s="268"/>
      <c r="F228" s="268"/>
      <c r="G228" s="268"/>
      <c r="H228" s="268"/>
      <c r="I228" s="268"/>
      <c r="J228" s="268"/>
      <c r="K228" s="268"/>
      <c r="L228" s="268"/>
      <c r="M228" s="268"/>
      <c r="N228" s="268"/>
      <c r="O228" s="268"/>
      <c r="P228" s="268"/>
      <c r="Q228" s="268"/>
      <c r="R228" s="268"/>
      <c r="S228" s="268"/>
      <c r="T228" s="266"/>
    </row>
    <row r="229" spans="1:20" s="265" customFormat="1" ht="21" customHeight="1">
      <c r="A229" s="426" t="str">
        <f>'Tabell 3.5–3.7'!B1</f>
        <v>Tabell 3.5. Transportfordon persontrafik – Järnvägar.</v>
      </c>
      <c r="B229" s="433"/>
      <c r="C229" s="433"/>
      <c r="D229" s="433"/>
      <c r="E229" s="433"/>
      <c r="F229" s="433"/>
      <c r="G229" s="433"/>
      <c r="H229" s="433"/>
      <c r="I229" s="433"/>
      <c r="J229" s="433"/>
      <c r="K229" s="433"/>
      <c r="L229" s="433"/>
      <c r="M229" s="433"/>
      <c r="N229" s="433"/>
      <c r="O229" s="433"/>
      <c r="P229" s="433"/>
      <c r="Q229" s="433"/>
      <c r="R229" s="433"/>
      <c r="S229" s="433"/>
      <c r="T229" s="266"/>
    </row>
    <row r="230" spans="1:20" s="265" customFormat="1" ht="15.75" customHeight="1">
      <c r="A230" s="427" t="s">
        <v>1116</v>
      </c>
      <c r="B230" s="427"/>
      <c r="C230" s="427"/>
      <c r="D230" s="427"/>
      <c r="E230" s="427"/>
      <c r="F230" s="427"/>
      <c r="G230" s="427"/>
      <c r="H230" s="427"/>
      <c r="I230" s="427"/>
      <c r="J230" s="427"/>
      <c r="K230" s="427"/>
      <c r="L230" s="427"/>
      <c r="M230" s="427"/>
      <c r="N230" s="427"/>
      <c r="O230" s="427"/>
      <c r="P230" s="427"/>
      <c r="Q230" s="427"/>
      <c r="R230" s="427"/>
      <c r="S230" s="427"/>
      <c r="T230" s="266"/>
    </row>
    <row r="231" spans="1:20" s="265" customFormat="1" ht="5.25" customHeight="1">
      <c r="A231" s="268"/>
      <c r="B231" s="268"/>
      <c r="C231" s="268"/>
      <c r="D231" s="268"/>
      <c r="E231" s="268"/>
      <c r="F231" s="268"/>
      <c r="G231" s="268"/>
      <c r="H231" s="268"/>
      <c r="I231" s="268"/>
      <c r="J231" s="268"/>
      <c r="K231" s="268"/>
      <c r="L231" s="268"/>
      <c r="M231" s="268"/>
      <c r="N231" s="268"/>
      <c r="O231" s="268"/>
      <c r="P231" s="268"/>
      <c r="Q231" s="268"/>
      <c r="R231" s="268"/>
      <c r="S231" s="268"/>
      <c r="T231" s="266"/>
    </row>
    <row r="232" spans="1:20" s="265" customFormat="1" ht="15.75" customHeight="1">
      <c r="A232" s="427" t="s">
        <v>1117</v>
      </c>
      <c r="B232" s="427"/>
      <c r="C232" s="427"/>
      <c r="D232" s="427"/>
      <c r="E232" s="427"/>
      <c r="F232" s="427"/>
      <c r="G232" s="427"/>
      <c r="H232" s="427"/>
      <c r="I232" s="427"/>
      <c r="J232" s="427"/>
      <c r="K232" s="427"/>
      <c r="L232" s="427"/>
      <c r="M232" s="427"/>
      <c r="N232" s="427"/>
      <c r="O232" s="427"/>
      <c r="P232" s="427"/>
      <c r="Q232" s="427"/>
      <c r="R232" s="427"/>
      <c r="S232" s="427"/>
      <c r="T232" s="266"/>
    </row>
    <row r="233" spans="1:20" s="265" customFormat="1" ht="5.25" customHeight="1">
      <c r="A233" s="268"/>
      <c r="B233" s="268"/>
      <c r="C233" s="268"/>
      <c r="D233" s="268"/>
      <c r="E233" s="268"/>
      <c r="F233" s="268"/>
      <c r="G233" s="268"/>
      <c r="H233" s="268"/>
      <c r="I233" s="268"/>
      <c r="J233" s="268"/>
      <c r="K233" s="268"/>
      <c r="L233" s="268"/>
      <c r="M233" s="268"/>
      <c r="N233" s="268"/>
      <c r="O233" s="268"/>
      <c r="P233" s="268"/>
      <c r="Q233" s="268"/>
      <c r="R233" s="268"/>
      <c r="S233" s="268"/>
      <c r="T233" s="266"/>
    </row>
    <row r="234" spans="1:20" s="265" customFormat="1" ht="15.75" customHeight="1">
      <c r="A234" s="427" t="s">
        <v>1118</v>
      </c>
      <c r="B234" s="427"/>
      <c r="C234" s="427"/>
      <c r="D234" s="427"/>
      <c r="E234" s="427"/>
      <c r="F234" s="427"/>
      <c r="G234" s="427"/>
      <c r="H234" s="427"/>
      <c r="I234" s="427"/>
      <c r="J234" s="427"/>
      <c r="K234" s="427"/>
      <c r="L234" s="427"/>
      <c r="M234" s="427"/>
      <c r="N234" s="427"/>
      <c r="O234" s="427"/>
      <c r="P234" s="427"/>
      <c r="Q234" s="427"/>
      <c r="R234" s="427"/>
      <c r="S234" s="427"/>
      <c r="T234" s="266"/>
    </row>
    <row r="235" spans="1:20" s="265" customFormat="1" ht="5.25" customHeight="1">
      <c r="A235" s="268"/>
      <c r="B235" s="268"/>
      <c r="C235" s="268"/>
      <c r="D235" s="268"/>
      <c r="E235" s="268"/>
      <c r="F235" s="268"/>
      <c r="G235" s="268"/>
      <c r="H235" s="268"/>
      <c r="I235" s="268"/>
      <c r="J235" s="268"/>
      <c r="K235" s="268"/>
      <c r="L235" s="268"/>
      <c r="M235" s="268"/>
      <c r="N235" s="268"/>
      <c r="O235" s="268"/>
      <c r="P235" s="268"/>
      <c r="Q235" s="268"/>
      <c r="R235" s="268"/>
      <c r="S235" s="268"/>
      <c r="T235" s="266"/>
    </row>
    <row r="236" spans="1:20" s="265" customFormat="1" ht="15.75" customHeight="1">
      <c r="A236" s="427" t="s">
        <v>1119</v>
      </c>
      <c r="B236" s="427"/>
      <c r="C236" s="427"/>
      <c r="D236" s="427"/>
      <c r="E236" s="427"/>
      <c r="F236" s="427"/>
      <c r="G236" s="427"/>
      <c r="H236" s="427"/>
      <c r="I236" s="427"/>
      <c r="J236" s="427"/>
      <c r="K236" s="427"/>
      <c r="L236" s="427"/>
      <c r="M236" s="427"/>
      <c r="N236" s="427"/>
      <c r="O236" s="427"/>
      <c r="P236" s="427"/>
      <c r="Q236" s="427"/>
      <c r="R236" s="427"/>
      <c r="S236" s="427"/>
      <c r="T236" s="266"/>
    </row>
    <row r="237" spans="1:20" s="265" customFormat="1" ht="5.25" customHeight="1">
      <c r="A237" s="268"/>
      <c r="B237" s="268"/>
      <c r="C237" s="268"/>
      <c r="D237" s="268"/>
      <c r="E237" s="268"/>
      <c r="F237" s="268"/>
      <c r="G237" s="268"/>
      <c r="H237" s="268"/>
      <c r="I237" s="268"/>
      <c r="J237" s="268"/>
      <c r="K237" s="268"/>
      <c r="L237" s="268"/>
      <c r="M237" s="268"/>
      <c r="N237" s="268"/>
      <c r="O237" s="268"/>
      <c r="P237" s="268"/>
      <c r="Q237" s="268"/>
      <c r="R237" s="268"/>
      <c r="S237" s="268"/>
      <c r="T237" s="266"/>
    </row>
    <row r="238" spans="1:20" s="265" customFormat="1" ht="15.75" customHeight="1">
      <c r="A238" s="427" t="s">
        <v>1120</v>
      </c>
      <c r="B238" s="427"/>
      <c r="C238" s="427"/>
      <c r="D238" s="427"/>
      <c r="E238" s="427"/>
      <c r="F238" s="427"/>
      <c r="G238" s="427"/>
      <c r="H238" s="427"/>
      <c r="I238" s="427"/>
      <c r="J238" s="427"/>
      <c r="K238" s="427"/>
      <c r="L238" s="427"/>
      <c r="M238" s="427"/>
      <c r="N238" s="427"/>
      <c r="O238" s="427"/>
      <c r="P238" s="427"/>
      <c r="Q238" s="427"/>
      <c r="R238" s="427"/>
      <c r="S238" s="427"/>
      <c r="T238" s="266"/>
    </row>
    <row r="239" spans="1:20" s="265" customFormat="1" ht="5.25" customHeight="1">
      <c r="A239" s="268"/>
      <c r="B239" s="268"/>
      <c r="C239" s="268"/>
      <c r="D239" s="268"/>
      <c r="E239" s="268"/>
      <c r="F239" s="268"/>
      <c r="G239" s="268"/>
      <c r="H239" s="268"/>
      <c r="I239" s="268"/>
      <c r="J239" s="268"/>
      <c r="K239" s="268"/>
      <c r="L239" s="268"/>
      <c r="M239" s="268"/>
      <c r="N239" s="268"/>
      <c r="O239" s="268"/>
      <c r="P239" s="268"/>
      <c r="Q239" s="268"/>
      <c r="R239" s="268"/>
      <c r="S239" s="268"/>
      <c r="T239" s="266"/>
    </row>
    <row r="240" spans="1:20" s="265" customFormat="1" ht="15.75" customHeight="1">
      <c r="A240" s="427" t="s">
        <v>1121</v>
      </c>
      <c r="B240" s="427"/>
      <c r="C240" s="427"/>
      <c r="D240" s="427"/>
      <c r="E240" s="427"/>
      <c r="F240" s="427"/>
      <c r="G240" s="427"/>
      <c r="H240" s="427"/>
      <c r="I240" s="427"/>
      <c r="J240" s="427"/>
      <c r="K240" s="427"/>
      <c r="L240" s="427"/>
      <c r="M240" s="427"/>
      <c r="N240" s="427"/>
      <c r="O240" s="427"/>
      <c r="P240" s="427"/>
      <c r="Q240" s="427"/>
      <c r="R240" s="427"/>
      <c r="S240" s="427"/>
      <c r="T240" s="266"/>
    </row>
    <row r="241" spans="1:20" s="265" customFormat="1" ht="5.25" customHeight="1">
      <c r="A241" s="268"/>
      <c r="B241" s="268"/>
      <c r="C241" s="268"/>
      <c r="D241" s="268"/>
      <c r="E241" s="268"/>
      <c r="F241" s="268"/>
      <c r="G241" s="268"/>
      <c r="H241" s="268"/>
      <c r="I241" s="268"/>
      <c r="J241" s="268"/>
      <c r="K241" s="268"/>
      <c r="L241" s="268"/>
      <c r="M241" s="268"/>
      <c r="N241" s="268"/>
      <c r="O241" s="268"/>
      <c r="P241" s="268"/>
      <c r="Q241" s="268"/>
      <c r="R241" s="268"/>
      <c r="S241" s="268"/>
      <c r="T241" s="266"/>
    </row>
    <row r="242" spans="1:20" s="265" customFormat="1" ht="15.75" customHeight="1">
      <c r="A242" s="427" t="s">
        <v>1122</v>
      </c>
      <c r="B242" s="427"/>
      <c r="C242" s="427"/>
      <c r="D242" s="427"/>
      <c r="E242" s="427"/>
      <c r="F242" s="427"/>
      <c r="G242" s="427"/>
      <c r="H242" s="427"/>
      <c r="I242" s="427"/>
      <c r="J242" s="427"/>
      <c r="K242" s="427"/>
      <c r="L242" s="427"/>
      <c r="M242" s="427"/>
      <c r="N242" s="427"/>
      <c r="O242" s="427"/>
      <c r="P242" s="427"/>
      <c r="Q242" s="427"/>
      <c r="R242" s="427"/>
      <c r="S242" s="427"/>
      <c r="T242" s="266"/>
    </row>
    <row r="243" spans="1:20" s="265" customFormat="1" ht="5.25" customHeight="1">
      <c r="A243" s="268"/>
      <c r="B243" s="268"/>
      <c r="C243" s="268"/>
      <c r="D243" s="268"/>
      <c r="E243" s="268"/>
      <c r="F243" s="268"/>
      <c r="G243" s="268"/>
      <c r="H243" s="268"/>
      <c r="I243" s="268"/>
      <c r="J243" s="268"/>
      <c r="K243" s="268"/>
      <c r="L243" s="268"/>
      <c r="M243" s="268"/>
      <c r="N243" s="268"/>
      <c r="O243" s="268"/>
      <c r="P243" s="268"/>
      <c r="Q243" s="268"/>
      <c r="R243" s="268"/>
      <c r="S243" s="268"/>
      <c r="T243" s="266"/>
    </row>
    <row r="244" spans="1:20" s="265" customFormat="1" ht="15.75" customHeight="1">
      <c r="A244" s="427" t="s">
        <v>1123</v>
      </c>
      <c r="B244" s="427"/>
      <c r="C244" s="427"/>
      <c r="D244" s="427"/>
      <c r="E244" s="427"/>
      <c r="F244" s="427"/>
      <c r="G244" s="427"/>
      <c r="H244" s="427"/>
      <c r="I244" s="427"/>
      <c r="J244" s="427"/>
      <c r="K244" s="427"/>
      <c r="L244" s="427"/>
      <c r="M244" s="427"/>
      <c r="N244" s="427"/>
      <c r="O244" s="427"/>
      <c r="P244" s="427"/>
      <c r="Q244" s="427"/>
      <c r="R244" s="427"/>
      <c r="S244" s="427"/>
      <c r="T244" s="266"/>
    </row>
    <row r="245" spans="1:20" s="265" customFormat="1" ht="5.25" customHeight="1">
      <c r="A245" s="268"/>
      <c r="B245" s="268"/>
      <c r="C245" s="268"/>
      <c r="D245" s="268"/>
      <c r="E245" s="268"/>
      <c r="F245" s="268"/>
      <c r="G245" s="268"/>
      <c r="H245" s="268"/>
      <c r="I245" s="268"/>
      <c r="J245" s="268"/>
      <c r="K245" s="268"/>
      <c r="L245" s="268"/>
      <c r="M245" s="268"/>
      <c r="N245" s="268"/>
      <c r="O245" s="268"/>
      <c r="P245" s="268"/>
      <c r="Q245" s="268"/>
      <c r="R245" s="268"/>
      <c r="S245" s="268"/>
      <c r="T245" s="266"/>
    </row>
    <row r="246" spans="1:20" s="265" customFormat="1" ht="142.5" customHeight="1">
      <c r="A246" s="430" t="s">
        <v>1135</v>
      </c>
      <c r="B246" s="427"/>
      <c r="C246" s="427"/>
      <c r="D246" s="427"/>
      <c r="E246" s="427"/>
      <c r="F246" s="427"/>
      <c r="G246" s="427"/>
      <c r="H246" s="427"/>
      <c r="I246" s="427"/>
      <c r="J246" s="427"/>
      <c r="K246" s="427"/>
      <c r="L246" s="427"/>
      <c r="M246" s="427"/>
      <c r="N246" s="427"/>
      <c r="O246" s="427"/>
      <c r="P246" s="427"/>
      <c r="Q246" s="427"/>
      <c r="R246" s="427"/>
      <c r="S246" s="427"/>
      <c r="T246" s="266"/>
    </row>
    <row r="247" spans="1:20" s="265" customFormat="1" ht="5.25" customHeight="1">
      <c r="A247" s="268"/>
      <c r="B247" s="268"/>
      <c r="C247" s="268"/>
      <c r="D247" s="268"/>
      <c r="E247" s="268"/>
      <c r="F247" s="268"/>
      <c r="G247" s="268"/>
      <c r="H247" s="268"/>
      <c r="I247" s="268"/>
      <c r="J247" s="268"/>
      <c r="K247" s="268"/>
      <c r="L247" s="268"/>
      <c r="M247" s="268"/>
      <c r="N247" s="268"/>
      <c r="O247" s="268"/>
      <c r="P247" s="268"/>
      <c r="Q247" s="268"/>
      <c r="R247" s="268"/>
      <c r="S247" s="268"/>
      <c r="T247" s="266"/>
    </row>
    <row r="248" spans="1:20" s="265" customFormat="1" ht="41.25" customHeight="1">
      <c r="A248" s="427" t="s">
        <v>1422</v>
      </c>
      <c r="B248" s="427"/>
      <c r="C248" s="427"/>
      <c r="D248" s="427"/>
      <c r="E248" s="427"/>
      <c r="F248" s="427"/>
      <c r="G248" s="427"/>
      <c r="H248" s="427"/>
      <c r="I248" s="427"/>
      <c r="J248" s="427"/>
      <c r="K248" s="427"/>
      <c r="L248" s="427"/>
      <c r="M248" s="427"/>
      <c r="N248" s="427"/>
      <c r="O248" s="427"/>
      <c r="P248" s="427"/>
      <c r="Q248" s="427"/>
      <c r="R248" s="427"/>
      <c r="S248" s="427"/>
      <c r="T248" s="266"/>
    </row>
    <row r="249" spans="1:20" s="265" customFormat="1" ht="5.25" customHeight="1">
      <c r="A249" s="268"/>
      <c r="B249" s="268"/>
      <c r="C249" s="268"/>
      <c r="D249" s="268"/>
      <c r="E249" s="268"/>
      <c r="F249" s="268"/>
      <c r="G249" s="268"/>
      <c r="H249" s="268"/>
      <c r="I249" s="268"/>
      <c r="J249" s="268"/>
      <c r="K249" s="268"/>
      <c r="L249" s="268"/>
      <c r="M249" s="268"/>
      <c r="N249" s="268"/>
      <c r="O249" s="268"/>
      <c r="P249" s="268"/>
      <c r="Q249" s="268"/>
      <c r="R249" s="268"/>
      <c r="S249" s="268"/>
      <c r="T249" s="266"/>
    </row>
    <row r="250" spans="1:20" s="410" customFormat="1" ht="15.75" customHeight="1">
      <c r="A250" s="435" t="s">
        <v>1423</v>
      </c>
      <c r="B250" s="435"/>
      <c r="C250" s="435"/>
      <c r="D250" s="435"/>
      <c r="E250" s="435"/>
      <c r="F250" s="435"/>
      <c r="G250" s="435"/>
      <c r="H250" s="435"/>
      <c r="I250" s="435"/>
      <c r="J250" s="435"/>
      <c r="K250" s="435"/>
      <c r="L250" s="435"/>
      <c r="M250" s="435"/>
      <c r="N250" s="435"/>
      <c r="O250" s="435"/>
      <c r="P250" s="435"/>
      <c r="Q250" s="435"/>
      <c r="R250" s="435"/>
      <c r="S250" s="435"/>
      <c r="T250" s="409"/>
    </row>
    <row r="251" spans="1:20" s="265" customFormat="1" ht="5.25" customHeight="1">
      <c r="A251" s="268"/>
      <c r="B251" s="268"/>
      <c r="C251" s="268"/>
      <c r="D251" s="268"/>
      <c r="E251" s="268"/>
      <c r="F251" s="268"/>
      <c r="G251" s="268"/>
      <c r="H251" s="268"/>
      <c r="I251" s="268"/>
      <c r="J251" s="268"/>
      <c r="K251" s="268"/>
      <c r="L251" s="268"/>
      <c r="M251" s="268"/>
      <c r="N251" s="268"/>
      <c r="O251" s="268"/>
      <c r="P251" s="268"/>
      <c r="Q251" s="268"/>
      <c r="R251" s="268"/>
      <c r="S251" s="268"/>
      <c r="T251" s="266"/>
    </row>
    <row r="252" spans="1:20" s="265" customFormat="1" ht="15.75" customHeight="1">
      <c r="A252" s="427" t="s">
        <v>1424</v>
      </c>
      <c r="B252" s="427"/>
      <c r="C252" s="427"/>
      <c r="D252" s="427"/>
      <c r="E252" s="427"/>
      <c r="F252" s="427"/>
      <c r="G252" s="427"/>
      <c r="H252" s="427"/>
      <c r="I252" s="427"/>
      <c r="J252" s="427"/>
      <c r="K252" s="427"/>
      <c r="L252" s="427"/>
      <c r="M252" s="427"/>
      <c r="N252" s="427"/>
      <c r="O252" s="427"/>
      <c r="P252" s="427"/>
      <c r="Q252" s="427"/>
      <c r="R252" s="427"/>
      <c r="S252" s="427"/>
      <c r="T252" s="266"/>
    </row>
    <row r="253" spans="1:20" s="265" customFormat="1" ht="5.25" customHeight="1">
      <c r="A253" s="268"/>
      <c r="B253" s="268"/>
      <c r="C253" s="268"/>
      <c r="D253" s="268"/>
      <c r="E253" s="268"/>
      <c r="F253" s="268"/>
      <c r="G253" s="268"/>
      <c r="H253" s="268"/>
      <c r="I253" s="268"/>
      <c r="J253" s="268"/>
      <c r="K253" s="268"/>
      <c r="L253" s="268"/>
      <c r="M253" s="268"/>
      <c r="N253" s="268"/>
      <c r="O253" s="268"/>
      <c r="P253" s="268"/>
      <c r="Q253" s="268"/>
      <c r="R253" s="268"/>
      <c r="S253" s="268"/>
      <c r="T253" s="266"/>
    </row>
    <row r="254" spans="1:20" s="265" customFormat="1" ht="15.75" customHeight="1">
      <c r="A254" s="427" t="s">
        <v>1425</v>
      </c>
      <c r="B254" s="427"/>
      <c r="C254" s="427"/>
      <c r="D254" s="427"/>
      <c r="E254" s="427"/>
      <c r="F254" s="427"/>
      <c r="G254" s="427"/>
      <c r="H254" s="427"/>
      <c r="I254" s="427"/>
      <c r="J254" s="427"/>
      <c r="K254" s="427"/>
      <c r="L254" s="427"/>
      <c r="M254" s="427"/>
      <c r="N254" s="427"/>
      <c r="O254" s="427"/>
      <c r="P254" s="427"/>
      <c r="Q254" s="427"/>
      <c r="R254" s="427"/>
      <c r="S254" s="427"/>
      <c r="T254" s="266"/>
    </row>
    <row r="255" spans="1:20" s="265" customFormat="1" ht="5.25" customHeight="1">
      <c r="A255" s="268"/>
      <c r="B255" s="268"/>
      <c r="C255" s="268"/>
      <c r="D255" s="268"/>
      <c r="E255" s="268"/>
      <c r="F255" s="268"/>
      <c r="G255" s="268"/>
      <c r="H255" s="268"/>
      <c r="I255" s="268"/>
      <c r="J255" s="268"/>
      <c r="K255" s="268"/>
      <c r="L255" s="268"/>
      <c r="M255" s="268"/>
      <c r="N255" s="268"/>
      <c r="O255" s="268"/>
      <c r="P255" s="268"/>
      <c r="Q255" s="268"/>
      <c r="R255" s="268"/>
      <c r="S255" s="268"/>
      <c r="T255" s="266"/>
    </row>
    <row r="256" spans="1:20" s="265" customFormat="1" ht="15.75" customHeight="1">
      <c r="A256" s="427" t="s">
        <v>1426</v>
      </c>
      <c r="B256" s="427"/>
      <c r="C256" s="427"/>
      <c r="D256" s="427"/>
      <c r="E256" s="427"/>
      <c r="F256" s="427"/>
      <c r="G256" s="427"/>
      <c r="H256" s="427"/>
      <c r="I256" s="427"/>
      <c r="J256" s="427"/>
      <c r="K256" s="427"/>
      <c r="L256" s="427"/>
      <c r="M256" s="427"/>
      <c r="N256" s="427"/>
      <c r="O256" s="427"/>
      <c r="P256" s="427"/>
      <c r="Q256" s="427"/>
      <c r="R256" s="427"/>
      <c r="S256" s="427"/>
      <c r="T256" s="266"/>
    </row>
    <row r="257" spans="1:20" s="265" customFormat="1" ht="5.25" customHeight="1">
      <c r="A257" s="268"/>
      <c r="B257" s="268"/>
      <c r="C257" s="268"/>
      <c r="D257" s="268"/>
      <c r="E257" s="268"/>
      <c r="F257" s="268"/>
      <c r="G257" s="268"/>
      <c r="H257" s="268"/>
      <c r="I257" s="268"/>
      <c r="J257" s="268"/>
      <c r="K257" s="268"/>
      <c r="L257" s="268"/>
      <c r="M257" s="268"/>
      <c r="N257" s="268"/>
      <c r="O257" s="268"/>
      <c r="P257" s="268"/>
      <c r="Q257" s="268"/>
      <c r="R257" s="268"/>
      <c r="S257" s="268"/>
      <c r="T257" s="266"/>
    </row>
    <row r="258" spans="1:20" s="265" customFormat="1" ht="15.75" customHeight="1">
      <c r="A258" s="427" t="s">
        <v>1427</v>
      </c>
      <c r="B258" s="427"/>
      <c r="C258" s="427"/>
      <c r="D258" s="427"/>
      <c r="E258" s="427"/>
      <c r="F258" s="427"/>
      <c r="G258" s="427"/>
      <c r="H258" s="427"/>
      <c r="I258" s="427"/>
      <c r="J258" s="427"/>
      <c r="K258" s="427"/>
      <c r="L258" s="427"/>
      <c r="M258" s="427"/>
      <c r="N258" s="427"/>
      <c r="O258" s="427"/>
      <c r="P258" s="427"/>
      <c r="Q258" s="427"/>
      <c r="R258" s="427"/>
      <c r="S258" s="427"/>
      <c r="T258" s="266"/>
    </row>
    <row r="259" spans="1:20" s="265" customFormat="1" ht="5.25" customHeight="1">
      <c r="A259" s="268"/>
      <c r="B259" s="268"/>
      <c r="C259" s="268"/>
      <c r="D259" s="268"/>
      <c r="E259" s="268"/>
      <c r="F259" s="268"/>
      <c r="G259" s="268"/>
      <c r="H259" s="268"/>
      <c r="I259" s="268"/>
      <c r="J259" s="268"/>
      <c r="K259" s="268"/>
      <c r="L259" s="268"/>
      <c r="M259" s="268"/>
      <c r="N259" s="268"/>
      <c r="O259" s="268"/>
      <c r="P259" s="268"/>
      <c r="Q259" s="268"/>
      <c r="R259" s="268"/>
      <c r="S259" s="268"/>
      <c r="T259" s="266"/>
    </row>
    <row r="260" spans="1:20" s="265" customFormat="1" ht="15.75" customHeight="1">
      <c r="A260" s="427" t="s">
        <v>1428</v>
      </c>
      <c r="B260" s="427"/>
      <c r="C260" s="427"/>
      <c r="D260" s="427"/>
      <c r="E260" s="427"/>
      <c r="F260" s="427"/>
      <c r="G260" s="427"/>
      <c r="H260" s="427"/>
      <c r="I260" s="427"/>
      <c r="J260" s="427"/>
      <c r="K260" s="427"/>
      <c r="L260" s="427"/>
      <c r="M260" s="427"/>
      <c r="N260" s="427"/>
      <c r="O260" s="427"/>
      <c r="P260" s="427"/>
      <c r="Q260" s="427"/>
      <c r="R260" s="427"/>
      <c r="S260" s="427"/>
      <c r="T260" s="266"/>
    </row>
    <row r="261" spans="1:20" s="265" customFormat="1" ht="5.25" customHeight="1">
      <c r="A261" s="268"/>
      <c r="B261" s="268"/>
      <c r="C261" s="268"/>
      <c r="D261" s="268"/>
      <c r="E261" s="268"/>
      <c r="F261" s="268"/>
      <c r="G261" s="268"/>
      <c r="H261" s="268"/>
      <c r="I261" s="268"/>
      <c r="J261" s="268"/>
      <c r="K261" s="268"/>
      <c r="L261" s="268"/>
      <c r="M261" s="268"/>
      <c r="N261" s="268"/>
      <c r="O261" s="268"/>
      <c r="P261" s="268"/>
      <c r="Q261" s="268"/>
      <c r="R261" s="268"/>
      <c r="S261" s="268"/>
      <c r="T261" s="266"/>
    </row>
    <row r="262" spans="1:20" s="265" customFormat="1" ht="15.75" customHeight="1">
      <c r="A262" s="426" t="str">
        <f>'Tabell 3.5–3.7'!B49</f>
        <v>Tabell 3.6. Transportfordon – Spårvägar.</v>
      </c>
      <c r="B262" s="427"/>
      <c r="C262" s="427"/>
      <c r="D262" s="427"/>
      <c r="E262" s="427"/>
      <c r="F262" s="427"/>
      <c r="G262" s="427"/>
      <c r="H262" s="427"/>
      <c r="I262" s="427"/>
      <c r="J262" s="427"/>
      <c r="K262" s="427"/>
      <c r="L262" s="427"/>
      <c r="M262" s="427"/>
      <c r="N262" s="427"/>
      <c r="O262" s="427"/>
      <c r="P262" s="427"/>
      <c r="Q262" s="427"/>
      <c r="R262" s="427"/>
      <c r="S262" s="427"/>
      <c r="T262" s="266"/>
    </row>
    <row r="263" spans="1:20" s="265" customFormat="1" ht="5.25" customHeight="1">
      <c r="A263" s="268"/>
      <c r="B263" s="268"/>
      <c r="C263" s="268"/>
      <c r="D263" s="268"/>
      <c r="E263" s="268"/>
      <c r="F263" s="268"/>
      <c r="G263" s="268"/>
      <c r="H263" s="268"/>
      <c r="I263" s="268"/>
      <c r="J263" s="268"/>
      <c r="K263" s="268"/>
      <c r="L263" s="268"/>
      <c r="M263" s="268"/>
      <c r="N263" s="268"/>
      <c r="O263" s="268"/>
      <c r="P263" s="268"/>
      <c r="Q263" s="268"/>
      <c r="R263" s="268"/>
      <c r="S263" s="268"/>
      <c r="T263" s="266"/>
    </row>
    <row r="264" spans="1:20" s="265" customFormat="1" ht="40.5" customHeight="1">
      <c r="A264" s="427" t="s">
        <v>1136</v>
      </c>
      <c r="B264" s="427"/>
      <c r="C264" s="427"/>
      <c r="D264" s="427"/>
      <c r="E264" s="427"/>
      <c r="F264" s="427"/>
      <c r="G264" s="427"/>
      <c r="H264" s="427"/>
      <c r="I264" s="427"/>
      <c r="J264" s="427"/>
      <c r="K264" s="427"/>
      <c r="L264" s="427"/>
      <c r="M264" s="427"/>
      <c r="N264" s="427"/>
      <c r="O264" s="427"/>
      <c r="P264" s="427"/>
      <c r="Q264" s="427"/>
      <c r="R264" s="427"/>
      <c r="S264" s="427"/>
      <c r="T264" s="266"/>
    </row>
    <row r="265" spans="1:20" s="265" customFormat="1" ht="5.25" customHeight="1">
      <c r="A265" s="268"/>
      <c r="B265" s="268"/>
      <c r="C265" s="268"/>
      <c r="D265" s="268"/>
      <c r="E265" s="268"/>
      <c r="F265" s="268"/>
      <c r="G265" s="268"/>
      <c r="H265" s="268"/>
      <c r="I265" s="268"/>
      <c r="J265" s="268"/>
      <c r="K265" s="268"/>
      <c r="L265" s="268"/>
      <c r="M265" s="268"/>
      <c r="N265" s="268"/>
      <c r="O265" s="268"/>
      <c r="P265" s="268"/>
      <c r="Q265" s="268"/>
      <c r="R265" s="268"/>
      <c r="S265" s="268"/>
      <c r="T265" s="266"/>
    </row>
    <row r="266" spans="1:20" s="265" customFormat="1" ht="15.75" customHeight="1">
      <c r="A266" s="427" t="s">
        <v>706</v>
      </c>
      <c r="B266" s="427"/>
      <c r="C266" s="427"/>
      <c r="D266" s="427"/>
      <c r="E266" s="427"/>
      <c r="F266" s="427"/>
      <c r="G266" s="427"/>
      <c r="H266" s="427"/>
      <c r="I266" s="427"/>
      <c r="J266" s="427"/>
      <c r="K266" s="427"/>
      <c r="L266" s="427"/>
      <c r="M266" s="427"/>
      <c r="N266" s="427"/>
      <c r="O266" s="427"/>
      <c r="P266" s="427"/>
      <c r="Q266" s="427"/>
      <c r="R266" s="427"/>
      <c r="S266" s="427"/>
      <c r="T266" s="266"/>
    </row>
    <row r="267" spans="1:20" s="265" customFormat="1" ht="5.25" customHeight="1">
      <c r="A267" s="268"/>
      <c r="B267" s="268"/>
      <c r="C267" s="268"/>
      <c r="D267" s="268"/>
      <c r="E267" s="268"/>
      <c r="F267" s="268"/>
      <c r="G267" s="268"/>
      <c r="H267" s="268"/>
      <c r="I267" s="268"/>
      <c r="J267" s="268"/>
      <c r="K267" s="268"/>
      <c r="L267" s="268"/>
      <c r="M267" s="268"/>
      <c r="N267" s="268"/>
      <c r="O267" s="268"/>
      <c r="P267" s="268"/>
      <c r="Q267" s="268"/>
      <c r="R267" s="268"/>
      <c r="S267" s="268"/>
      <c r="T267" s="266"/>
    </row>
    <row r="268" spans="1:20" s="265" customFormat="1" ht="15.75" customHeight="1">
      <c r="A268" s="426" t="str">
        <f>'Tabell 3.5–3.7'!B65</f>
        <v>Tabell 3.7. Transportfordon – Tunnelbanan.</v>
      </c>
      <c r="B268" s="427"/>
      <c r="C268" s="427"/>
      <c r="D268" s="427"/>
      <c r="E268" s="427"/>
      <c r="F268" s="427"/>
      <c r="G268" s="427"/>
      <c r="H268" s="427"/>
      <c r="I268" s="427"/>
      <c r="J268" s="427"/>
      <c r="K268" s="427"/>
      <c r="L268" s="427"/>
      <c r="M268" s="427"/>
      <c r="N268" s="427"/>
      <c r="O268" s="427"/>
      <c r="P268" s="427"/>
      <c r="Q268" s="427"/>
      <c r="R268" s="427"/>
      <c r="S268" s="427"/>
      <c r="T268" s="266"/>
    </row>
    <row r="269" spans="1:20" s="265" customFormat="1" ht="5.25" customHeight="1">
      <c r="A269" s="268"/>
      <c r="B269" s="268"/>
      <c r="C269" s="268"/>
      <c r="D269" s="268"/>
      <c r="E269" s="268"/>
      <c r="F269" s="268"/>
      <c r="G269" s="268"/>
      <c r="H269" s="268"/>
      <c r="I269" s="268"/>
      <c r="J269" s="268"/>
      <c r="K269" s="268"/>
      <c r="L269" s="268"/>
      <c r="M269" s="268"/>
      <c r="N269" s="268"/>
      <c r="O269" s="268"/>
      <c r="P269" s="268"/>
      <c r="Q269" s="268"/>
      <c r="R269" s="268"/>
      <c r="S269" s="268"/>
      <c r="T269" s="266"/>
    </row>
    <row r="270" spans="1:20" s="265" customFormat="1" ht="42" customHeight="1">
      <c r="A270" s="427" t="s">
        <v>1137</v>
      </c>
      <c r="B270" s="427"/>
      <c r="C270" s="427"/>
      <c r="D270" s="427"/>
      <c r="E270" s="427"/>
      <c r="F270" s="427"/>
      <c r="G270" s="427"/>
      <c r="H270" s="427"/>
      <c r="I270" s="427"/>
      <c r="J270" s="427"/>
      <c r="K270" s="427"/>
      <c r="L270" s="427"/>
      <c r="M270" s="427"/>
      <c r="N270" s="427"/>
      <c r="O270" s="427"/>
      <c r="P270" s="427"/>
      <c r="Q270" s="427"/>
      <c r="R270" s="427"/>
      <c r="S270" s="427"/>
      <c r="T270" s="266"/>
    </row>
    <row r="271" spans="1:20" s="265" customFormat="1" ht="5.25" customHeight="1">
      <c r="A271" s="268"/>
      <c r="B271" s="268"/>
      <c r="C271" s="268"/>
      <c r="D271" s="268"/>
      <c r="E271" s="268"/>
      <c r="F271" s="268"/>
      <c r="G271" s="268"/>
      <c r="H271" s="268"/>
      <c r="I271" s="268"/>
      <c r="J271" s="268"/>
      <c r="K271" s="268"/>
      <c r="L271" s="268"/>
      <c r="M271" s="268"/>
      <c r="N271" s="268"/>
      <c r="O271" s="268"/>
      <c r="P271" s="268"/>
      <c r="Q271" s="268"/>
      <c r="R271" s="268"/>
      <c r="S271" s="268"/>
      <c r="T271" s="266"/>
    </row>
    <row r="272" spans="1:20" s="265" customFormat="1" ht="15.75" customHeight="1">
      <c r="A272" s="427" t="s">
        <v>707</v>
      </c>
      <c r="B272" s="427"/>
      <c r="C272" s="427"/>
      <c r="D272" s="427"/>
      <c r="E272" s="427"/>
      <c r="F272" s="427"/>
      <c r="G272" s="427"/>
      <c r="H272" s="427"/>
      <c r="I272" s="427"/>
      <c r="J272" s="427"/>
      <c r="K272" s="427"/>
      <c r="L272" s="427"/>
      <c r="M272" s="427"/>
      <c r="N272" s="427"/>
      <c r="O272" s="427"/>
      <c r="P272" s="427"/>
      <c r="Q272" s="427"/>
      <c r="R272" s="427"/>
      <c r="S272" s="427"/>
      <c r="T272" s="266"/>
    </row>
    <row r="273" spans="1:20" s="265" customFormat="1" ht="5.25" customHeight="1">
      <c r="A273" s="268"/>
      <c r="B273" s="268"/>
      <c r="C273" s="268"/>
      <c r="D273" s="268"/>
      <c r="E273" s="268"/>
      <c r="F273" s="268"/>
      <c r="G273" s="268"/>
      <c r="H273" s="268"/>
      <c r="I273" s="268"/>
      <c r="J273" s="268"/>
      <c r="K273" s="268"/>
      <c r="L273" s="268"/>
      <c r="M273" s="268"/>
      <c r="N273" s="268"/>
      <c r="O273" s="268"/>
      <c r="P273" s="268"/>
      <c r="Q273" s="268"/>
      <c r="R273" s="268"/>
      <c r="S273" s="268"/>
      <c r="T273" s="266"/>
    </row>
    <row r="274" spans="1:20" s="265" customFormat="1" ht="24" customHeight="1">
      <c r="A274" s="429" t="s">
        <v>1127</v>
      </c>
      <c r="B274" s="434"/>
      <c r="C274" s="434"/>
      <c r="D274" s="434"/>
      <c r="E274" s="434"/>
      <c r="F274" s="434"/>
      <c r="G274" s="434"/>
      <c r="H274" s="434"/>
      <c r="I274" s="434"/>
      <c r="J274" s="434"/>
      <c r="K274" s="434"/>
      <c r="L274" s="434"/>
      <c r="M274" s="434"/>
      <c r="N274" s="434"/>
      <c r="O274" s="434"/>
      <c r="P274" s="434"/>
      <c r="Q274" s="434"/>
      <c r="R274" s="434"/>
      <c r="S274" s="434"/>
      <c r="T274" s="266"/>
    </row>
    <row r="275" spans="1:20" s="265" customFormat="1" ht="5.25" customHeight="1">
      <c r="A275" s="268"/>
      <c r="B275" s="268"/>
      <c r="C275" s="268"/>
      <c r="D275" s="268"/>
      <c r="E275" s="268"/>
      <c r="F275" s="268"/>
      <c r="G275" s="268"/>
      <c r="H275" s="268"/>
      <c r="I275" s="268"/>
      <c r="J275" s="268"/>
      <c r="K275" s="268"/>
      <c r="L275" s="268"/>
      <c r="M275" s="268"/>
      <c r="N275" s="268"/>
      <c r="O275" s="268"/>
      <c r="P275" s="268"/>
      <c r="Q275" s="268"/>
      <c r="R275" s="268"/>
      <c r="S275" s="268"/>
      <c r="T275" s="266"/>
    </row>
    <row r="276" spans="1:20" s="265" customFormat="1" ht="107.25" customHeight="1">
      <c r="A276" s="427" t="s">
        <v>1438</v>
      </c>
      <c r="B276" s="427"/>
      <c r="C276" s="427"/>
      <c r="D276" s="427"/>
      <c r="E276" s="427"/>
      <c r="F276" s="427"/>
      <c r="G276" s="427"/>
      <c r="H276" s="427"/>
      <c r="I276" s="427"/>
      <c r="J276" s="427"/>
      <c r="K276" s="427"/>
      <c r="L276" s="427"/>
      <c r="M276" s="427"/>
      <c r="N276" s="427"/>
      <c r="O276" s="427"/>
      <c r="P276" s="427"/>
      <c r="Q276" s="427"/>
      <c r="R276" s="427"/>
      <c r="S276" s="427"/>
      <c r="T276" s="266"/>
    </row>
    <row r="277" spans="1:20" s="265" customFormat="1" ht="5.25" customHeight="1">
      <c r="A277" s="268"/>
      <c r="B277" s="268"/>
      <c r="C277" s="268"/>
      <c r="D277" s="268"/>
      <c r="E277" s="268"/>
      <c r="F277" s="268"/>
      <c r="G277" s="268"/>
      <c r="H277" s="268"/>
      <c r="I277" s="268"/>
      <c r="J277" s="268"/>
      <c r="K277" s="268"/>
      <c r="L277" s="268"/>
      <c r="M277" s="268"/>
      <c r="N277" s="268"/>
      <c r="O277" s="268"/>
      <c r="P277" s="268"/>
      <c r="Q277" s="268"/>
      <c r="R277" s="268"/>
      <c r="S277" s="268"/>
      <c r="T277" s="266"/>
    </row>
    <row r="278" spans="1:20" s="265" customFormat="1" ht="15.75" customHeight="1">
      <c r="A278" s="426" t="str">
        <f>'Tabell 4.1–4.3'!B1</f>
        <v>Tabell 4.1. Trafik – Järnvägar.</v>
      </c>
      <c r="B278" s="433"/>
      <c r="C278" s="433"/>
      <c r="D278" s="433"/>
      <c r="E278" s="433"/>
      <c r="F278" s="433"/>
      <c r="G278" s="433"/>
      <c r="H278" s="433"/>
      <c r="I278" s="433"/>
      <c r="J278" s="433"/>
      <c r="K278" s="433"/>
      <c r="L278" s="433"/>
      <c r="M278" s="433"/>
      <c r="N278" s="433"/>
      <c r="O278" s="433"/>
      <c r="P278" s="433"/>
      <c r="Q278" s="433"/>
      <c r="R278" s="433"/>
      <c r="S278" s="433"/>
      <c r="T278" s="266"/>
    </row>
    <row r="279" spans="1:20" s="265" customFormat="1" ht="5.25" customHeight="1">
      <c r="A279" s="268"/>
      <c r="B279" s="268"/>
      <c r="C279" s="268"/>
      <c r="D279" s="268"/>
      <c r="E279" s="268"/>
      <c r="F279" s="268"/>
      <c r="G279" s="268"/>
      <c r="H279" s="268"/>
      <c r="I279" s="268"/>
      <c r="J279" s="268"/>
      <c r="K279" s="268"/>
      <c r="L279" s="268"/>
      <c r="M279" s="268"/>
      <c r="N279" s="268"/>
      <c r="O279" s="268"/>
      <c r="P279" s="268"/>
      <c r="Q279" s="268"/>
      <c r="R279" s="268"/>
      <c r="S279" s="268"/>
      <c r="T279" s="266"/>
    </row>
    <row r="280" spans="1:20" s="265" customFormat="1" ht="28.5" customHeight="1">
      <c r="A280" s="427" t="s">
        <v>783</v>
      </c>
      <c r="B280" s="427"/>
      <c r="C280" s="427"/>
      <c r="D280" s="427"/>
      <c r="E280" s="427"/>
      <c r="F280" s="427"/>
      <c r="G280" s="427"/>
      <c r="H280" s="427"/>
      <c r="I280" s="427"/>
      <c r="J280" s="427"/>
      <c r="K280" s="427"/>
      <c r="L280" s="427"/>
      <c r="M280" s="427"/>
      <c r="N280" s="427"/>
      <c r="O280" s="427"/>
      <c r="P280" s="427"/>
      <c r="Q280" s="427"/>
      <c r="R280" s="427"/>
      <c r="S280" s="427"/>
      <c r="T280" s="266"/>
    </row>
    <row r="281" spans="1:20" s="265" customFormat="1" ht="5.25" customHeight="1">
      <c r="A281" s="268"/>
      <c r="B281" s="268"/>
      <c r="C281" s="268"/>
      <c r="D281" s="268"/>
      <c r="E281" s="268"/>
      <c r="F281" s="268"/>
      <c r="G281" s="268"/>
      <c r="H281" s="268"/>
      <c r="I281" s="268"/>
      <c r="J281" s="268"/>
      <c r="K281" s="268"/>
      <c r="L281" s="268"/>
      <c r="M281" s="268"/>
      <c r="N281" s="268"/>
      <c r="O281" s="268"/>
      <c r="P281" s="268"/>
      <c r="Q281" s="268"/>
      <c r="R281" s="268"/>
      <c r="S281" s="268"/>
      <c r="T281" s="266"/>
    </row>
    <row r="282" spans="1:20" s="265" customFormat="1" ht="132" customHeight="1">
      <c r="A282" s="427" t="s">
        <v>1419</v>
      </c>
      <c r="B282" s="427"/>
      <c r="C282" s="427"/>
      <c r="D282" s="427"/>
      <c r="E282" s="427"/>
      <c r="F282" s="427"/>
      <c r="G282" s="427"/>
      <c r="H282" s="427"/>
      <c r="I282" s="427"/>
      <c r="J282" s="427"/>
      <c r="K282" s="427"/>
      <c r="L282" s="427"/>
      <c r="M282" s="427"/>
      <c r="N282" s="427"/>
      <c r="O282" s="427"/>
      <c r="P282" s="427"/>
      <c r="Q282" s="427"/>
      <c r="R282" s="427"/>
      <c r="S282" s="427"/>
      <c r="T282" s="266"/>
    </row>
    <row r="283" spans="1:20" s="265" customFormat="1" ht="5.25" customHeight="1">
      <c r="A283" s="268"/>
      <c r="B283" s="268"/>
      <c r="C283" s="268"/>
      <c r="D283" s="268"/>
      <c r="E283" s="268"/>
      <c r="F283" s="268"/>
      <c r="G283" s="268"/>
      <c r="H283" s="268"/>
      <c r="I283" s="268"/>
      <c r="J283" s="268"/>
      <c r="K283" s="268"/>
      <c r="L283" s="268"/>
      <c r="M283" s="268"/>
      <c r="N283" s="268"/>
      <c r="O283" s="268"/>
      <c r="P283" s="268"/>
      <c r="Q283" s="268"/>
      <c r="R283" s="268"/>
      <c r="S283" s="268"/>
      <c r="T283" s="266"/>
    </row>
    <row r="284" spans="1:20" s="265" customFormat="1" ht="41.25" customHeight="1">
      <c r="A284" s="427" t="s">
        <v>739</v>
      </c>
      <c r="B284" s="427"/>
      <c r="C284" s="427"/>
      <c r="D284" s="427"/>
      <c r="E284" s="427"/>
      <c r="F284" s="427"/>
      <c r="G284" s="427"/>
      <c r="H284" s="427"/>
      <c r="I284" s="427"/>
      <c r="J284" s="427"/>
      <c r="K284" s="427"/>
      <c r="L284" s="427"/>
      <c r="M284" s="427"/>
      <c r="N284" s="427"/>
      <c r="O284" s="427"/>
      <c r="P284" s="427"/>
      <c r="Q284" s="427"/>
      <c r="R284" s="427"/>
      <c r="S284" s="427"/>
      <c r="T284" s="266"/>
    </row>
    <row r="285" spans="1:20" s="265" customFormat="1" ht="5.25" customHeight="1">
      <c r="A285" s="268"/>
      <c r="B285" s="268"/>
      <c r="C285" s="268"/>
      <c r="D285" s="268"/>
      <c r="E285" s="268"/>
      <c r="F285" s="268"/>
      <c r="G285" s="268"/>
      <c r="H285" s="268"/>
      <c r="I285" s="268"/>
      <c r="J285" s="268"/>
      <c r="K285" s="268"/>
      <c r="L285" s="268"/>
      <c r="M285" s="268"/>
      <c r="N285" s="268"/>
      <c r="O285" s="268"/>
      <c r="P285" s="268"/>
      <c r="Q285" s="268"/>
      <c r="R285" s="268"/>
      <c r="S285" s="268"/>
      <c r="T285" s="266"/>
    </row>
    <row r="286" spans="1:20" s="265" customFormat="1" ht="15.75" customHeight="1">
      <c r="A286" s="426" t="str">
        <f>'Tabell 4.1–4.3'!B55</f>
        <v>Tabell 4.2. Trafik – Spårvägar.</v>
      </c>
      <c r="B286" s="427"/>
      <c r="C286" s="427"/>
      <c r="D286" s="427"/>
      <c r="E286" s="427"/>
      <c r="F286" s="427"/>
      <c r="G286" s="427"/>
      <c r="H286" s="427"/>
      <c r="I286" s="427"/>
      <c r="J286" s="427"/>
      <c r="K286" s="427"/>
      <c r="L286" s="427"/>
      <c r="M286" s="427"/>
      <c r="N286" s="427"/>
      <c r="O286" s="427"/>
      <c r="P286" s="427"/>
      <c r="Q286" s="427"/>
      <c r="R286" s="427"/>
      <c r="S286" s="427"/>
      <c r="T286" s="266"/>
    </row>
    <row r="287" spans="1:20" s="265" customFormat="1" ht="5.25" customHeight="1">
      <c r="A287" s="268"/>
      <c r="B287" s="268"/>
      <c r="C287" s="268"/>
      <c r="D287" s="268"/>
      <c r="E287" s="268"/>
      <c r="F287" s="268"/>
      <c r="G287" s="268"/>
      <c r="H287" s="268"/>
      <c r="I287" s="268"/>
      <c r="J287" s="268"/>
      <c r="K287" s="268"/>
      <c r="L287" s="268"/>
      <c r="M287" s="268"/>
      <c r="N287" s="268"/>
      <c r="O287" s="268"/>
      <c r="P287" s="268"/>
      <c r="Q287" s="268"/>
      <c r="R287" s="268"/>
      <c r="S287" s="268"/>
      <c r="T287" s="266"/>
    </row>
    <row r="288" spans="1:20" s="265" customFormat="1" ht="28.5" customHeight="1">
      <c r="A288" s="427" t="s">
        <v>782</v>
      </c>
      <c r="B288" s="427"/>
      <c r="C288" s="427"/>
      <c r="D288" s="427"/>
      <c r="E288" s="427"/>
      <c r="F288" s="427"/>
      <c r="G288" s="427"/>
      <c r="H288" s="427"/>
      <c r="I288" s="427"/>
      <c r="J288" s="427"/>
      <c r="K288" s="427"/>
      <c r="L288" s="427"/>
      <c r="M288" s="427"/>
      <c r="N288" s="427"/>
      <c r="O288" s="427"/>
      <c r="P288" s="427"/>
      <c r="Q288" s="427"/>
      <c r="R288" s="427"/>
      <c r="S288" s="427"/>
      <c r="T288" s="266"/>
    </row>
    <row r="289" spans="1:20" s="265" customFormat="1" ht="5.25" customHeight="1">
      <c r="A289" s="268"/>
      <c r="B289" s="268"/>
      <c r="C289" s="268"/>
      <c r="D289" s="268"/>
      <c r="E289" s="268"/>
      <c r="F289" s="268"/>
      <c r="G289" s="268"/>
      <c r="H289" s="268"/>
      <c r="I289" s="268"/>
      <c r="J289" s="268"/>
      <c r="K289" s="268"/>
      <c r="L289" s="268"/>
      <c r="M289" s="268"/>
      <c r="N289" s="268"/>
      <c r="O289" s="268"/>
      <c r="P289" s="268"/>
      <c r="Q289" s="268"/>
      <c r="R289" s="268"/>
      <c r="S289" s="268"/>
      <c r="T289" s="266"/>
    </row>
    <row r="290" spans="1:20" s="265" customFormat="1" ht="55.5" customHeight="1">
      <c r="A290" s="427" t="s">
        <v>806</v>
      </c>
      <c r="B290" s="427"/>
      <c r="C290" s="427"/>
      <c r="D290" s="427"/>
      <c r="E290" s="427"/>
      <c r="F290" s="427"/>
      <c r="G290" s="427"/>
      <c r="H290" s="427"/>
      <c r="I290" s="427"/>
      <c r="J290" s="427"/>
      <c r="K290" s="427"/>
      <c r="L290" s="427"/>
      <c r="M290" s="427"/>
      <c r="N290" s="427"/>
      <c r="O290" s="427"/>
      <c r="P290" s="427"/>
      <c r="Q290" s="427"/>
      <c r="R290" s="427"/>
      <c r="S290" s="427"/>
      <c r="T290" s="266"/>
    </row>
    <row r="291" spans="1:20" s="265" customFormat="1" ht="5.25" customHeight="1">
      <c r="A291" s="268"/>
      <c r="B291" s="268"/>
      <c r="C291" s="268"/>
      <c r="D291" s="268"/>
      <c r="E291" s="268"/>
      <c r="F291" s="268"/>
      <c r="G291" s="268"/>
      <c r="H291" s="268"/>
      <c r="I291" s="268"/>
      <c r="J291" s="268"/>
      <c r="K291" s="268"/>
      <c r="L291" s="268"/>
      <c r="M291" s="268"/>
      <c r="N291" s="268"/>
      <c r="O291" s="268"/>
      <c r="P291" s="268"/>
      <c r="Q291" s="268"/>
      <c r="R291" s="268"/>
      <c r="S291" s="268"/>
      <c r="T291" s="266"/>
    </row>
    <row r="292" spans="1:20" s="265" customFormat="1" ht="41.25" customHeight="1">
      <c r="A292" s="427" t="s">
        <v>741</v>
      </c>
      <c r="B292" s="427"/>
      <c r="C292" s="427"/>
      <c r="D292" s="427"/>
      <c r="E292" s="427"/>
      <c r="F292" s="427"/>
      <c r="G292" s="427"/>
      <c r="H292" s="427"/>
      <c r="I292" s="427"/>
      <c r="J292" s="427"/>
      <c r="K292" s="427"/>
      <c r="L292" s="427"/>
      <c r="M292" s="427"/>
      <c r="N292" s="427"/>
      <c r="O292" s="427"/>
      <c r="P292" s="427"/>
      <c r="Q292" s="427"/>
      <c r="R292" s="427"/>
      <c r="S292" s="427"/>
      <c r="T292" s="266"/>
    </row>
    <row r="293" spans="1:20" s="265" customFormat="1" ht="5.25" customHeight="1">
      <c r="A293" s="268"/>
      <c r="B293" s="268"/>
      <c r="C293" s="268"/>
      <c r="D293" s="268"/>
      <c r="E293" s="268"/>
      <c r="F293" s="268"/>
      <c r="G293" s="268"/>
      <c r="H293" s="268"/>
      <c r="I293" s="268"/>
      <c r="J293" s="268"/>
      <c r="K293" s="268"/>
      <c r="L293" s="268"/>
      <c r="M293" s="268"/>
      <c r="N293" s="268"/>
      <c r="O293" s="268"/>
      <c r="P293" s="268"/>
      <c r="Q293" s="268"/>
      <c r="R293" s="268"/>
      <c r="S293" s="268"/>
      <c r="T293" s="266"/>
    </row>
    <row r="294" spans="1:20" s="265" customFormat="1" ht="15.75" customHeight="1">
      <c r="A294" s="426" t="str">
        <f>'Tabell 4.1–4.3'!B72</f>
        <v>Tabell 4.3. Trafik – Tunnelbanan.</v>
      </c>
      <c r="B294" s="427"/>
      <c r="C294" s="427"/>
      <c r="D294" s="427"/>
      <c r="E294" s="427"/>
      <c r="F294" s="427"/>
      <c r="G294" s="427"/>
      <c r="H294" s="427"/>
      <c r="I294" s="427"/>
      <c r="J294" s="427"/>
      <c r="K294" s="427"/>
      <c r="L294" s="427"/>
      <c r="M294" s="427"/>
      <c r="N294" s="427"/>
      <c r="O294" s="427"/>
      <c r="P294" s="427"/>
      <c r="Q294" s="427"/>
      <c r="R294" s="427"/>
      <c r="S294" s="427"/>
      <c r="T294" s="266"/>
    </row>
    <row r="295" spans="1:20" s="265" customFormat="1" ht="5.25" customHeight="1">
      <c r="A295" s="268"/>
      <c r="B295" s="268"/>
      <c r="C295" s="268"/>
      <c r="D295" s="268"/>
      <c r="E295" s="268"/>
      <c r="F295" s="268"/>
      <c r="G295" s="268"/>
      <c r="H295" s="268"/>
      <c r="I295" s="268"/>
      <c r="J295" s="268"/>
      <c r="K295" s="268"/>
      <c r="L295" s="268"/>
      <c r="M295" s="268"/>
      <c r="N295" s="268"/>
      <c r="O295" s="268"/>
      <c r="P295" s="268"/>
      <c r="Q295" s="268"/>
      <c r="R295" s="268"/>
      <c r="S295" s="268"/>
      <c r="T295" s="266"/>
    </row>
    <row r="296" spans="1:20" s="265" customFormat="1" ht="28.5" customHeight="1">
      <c r="A296" s="427" t="s">
        <v>784</v>
      </c>
      <c r="B296" s="427"/>
      <c r="C296" s="427"/>
      <c r="D296" s="427"/>
      <c r="E296" s="427"/>
      <c r="F296" s="427"/>
      <c r="G296" s="427"/>
      <c r="H296" s="427"/>
      <c r="I296" s="427"/>
      <c r="J296" s="427"/>
      <c r="K296" s="427"/>
      <c r="L296" s="427"/>
      <c r="M296" s="427"/>
      <c r="N296" s="427"/>
      <c r="O296" s="427"/>
      <c r="P296" s="427"/>
      <c r="Q296" s="427"/>
      <c r="R296" s="427"/>
      <c r="S296" s="427"/>
      <c r="T296" s="266"/>
    </row>
    <row r="297" spans="1:20" s="265" customFormat="1" ht="5.25" customHeight="1">
      <c r="A297" s="268"/>
      <c r="B297" s="268"/>
      <c r="C297" s="268"/>
      <c r="D297" s="268"/>
      <c r="E297" s="268"/>
      <c r="F297" s="268"/>
      <c r="G297" s="268"/>
      <c r="H297" s="268"/>
      <c r="I297" s="268"/>
      <c r="J297" s="268"/>
      <c r="K297" s="268"/>
      <c r="L297" s="268"/>
      <c r="M297" s="268"/>
      <c r="N297" s="268"/>
      <c r="O297" s="268"/>
      <c r="P297" s="268"/>
      <c r="Q297" s="268"/>
      <c r="R297" s="268"/>
      <c r="S297" s="268"/>
      <c r="T297" s="266"/>
    </row>
    <row r="298" spans="1:20" s="265" customFormat="1" ht="57.75" customHeight="1">
      <c r="A298" s="427" t="s">
        <v>807</v>
      </c>
      <c r="B298" s="427"/>
      <c r="C298" s="427"/>
      <c r="D298" s="427"/>
      <c r="E298" s="427"/>
      <c r="F298" s="427"/>
      <c r="G298" s="427"/>
      <c r="H298" s="427"/>
      <c r="I298" s="427"/>
      <c r="J298" s="427"/>
      <c r="K298" s="427"/>
      <c r="L298" s="427"/>
      <c r="M298" s="427"/>
      <c r="N298" s="427"/>
      <c r="O298" s="427"/>
      <c r="P298" s="427"/>
      <c r="Q298" s="427"/>
      <c r="R298" s="427"/>
      <c r="S298" s="427"/>
      <c r="T298" s="266"/>
    </row>
    <row r="299" spans="1:20" s="265" customFormat="1" ht="5.25" customHeight="1">
      <c r="A299" s="268"/>
      <c r="B299" s="268"/>
      <c r="C299" s="268"/>
      <c r="D299" s="268"/>
      <c r="E299" s="268"/>
      <c r="F299" s="268"/>
      <c r="G299" s="268"/>
      <c r="H299" s="268"/>
      <c r="I299" s="268"/>
      <c r="J299" s="268"/>
      <c r="K299" s="268"/>
      <c r="L299" s="268"/>
      <c r="M299" s="268"/>
      <c r="N299" s="268"/>
      <c r="O299" s="268"/>
      <c r="P299" s="268"/>
      <c r="Q299" s="268"/>
      <c r="R299" s="268"/>
      <c r="S299" s="268"/>
      <c r="T299" s="266"/>
    </row>
    <row r="300" spans="1:20" s="265" customFormat="1" ht="41.25" customHeight="1">
      <c r="A300" s="427" t="s">
        <v>742</v>
      </c>
      <c r="B300" s="427"/>
      <c r="C300" s="427"/>
      <c r="D300" s="427"/>
      <c r="E300" s="427"/>
      <c r="F300" s="427"/>
      <c r="G300" s="427"/>
      <c r="H300" s="427"/>
      <c r="I300" s="427"/>
      <c r="J300" s="427"/>
      <c r="K300" s="427"/>
      <c r="L300" s="427"/>
      <c r="M300" s="427"/>
      <c r="N300" s="427"/>
      <c r="O300" s="427"/>
      <c r="P300" s="427"/>
      <c r="Q300" s="427"/>
      <c r="R300" s="427"/>
      <c r="S300" s="427"/>
      <c r="T300" s="266"/>
    </row>
    <row r="301" spans="1:20" s="265" customFormat="1" ht="5.25" customHeight="1">
      <c r="A301" s="268"/>
      <c r="B301" s="268"/>
      <c r="C301" s="268"/>
      <c r="D301" s="268"/>
      <c r="E301" s="268"/>
      <c r="F301" s="268"/>
      <c r="G301" s="268"/>
      <c r="H301" s="268"/>
      <c r="I301" s="268"/>
      <c r="J301" s="268"/>
      <c r="K301" s="268"/>
      <c r="L301" s="268"/>
      <c r="M301" s="268"/>
      <c r="N301" s="268"/>
      <c r="O301" s="268"/>
      <c r="P301" s="268"/>
      <c r="Q301" s="268"/>
      <c r="R301" s="268"/>
      <c r="S301" s="268"/>
      <c r="T301" s="266"/>
    </row>
    <row r="302" spans="1:20" s="265" customFormat="1" ht="15.75" customHeight="1">
      <c r="A302" s="426" t="str">
        <f>'Tabell 4.4–4.6'!B1</f>
        <v>Tabell 4.4. Personal för trafik – Järnvägar.</v>
      </c>
      <c r="B302" s="427"/>
      <c r="C302" s="427"/>
      <c r="D302" s="427"/>
      <c r="E302" s="427"/>
      <c r="F302" s="427"/>
      <c r="G302" s="427"/>
      <c r="H302" s="427"/>
      <c r="I302" s="427"/>
      <c r="J302" s="427"/>
      <c r="K302" s="427"/>
      <c r="L302" s="427"/>
      <c r="M302" s="427"/>
      <c r="N302" s="427"/>
      <c r="O302" s="427"/>
      <c r="P302" s="427"/>
      <c r="Q302" s="427"/>
      <c r="R302" s="427"/>
      <c r="S302" s="427"/>
      <c r="T302" s="266"/>
    </row>
    <row r="303" spans="1:20" s="265" customFormat="1" ht="5.25" customHeight="1">
      <c r="A303" s="268"/>
      <c r="B303" s="268"/>
      <c r="C303" s="268"/>
      <c r="D303" s="268"/>
      <c r="E303" s="268"/>
      <c r="F303" s="268"/>
      <c r="G303" s="268"/>
      <c r="H303" s="268"/>
      <c r="I303" s="268"/>
      <c r="J303" s="268"/>
      <c r="K303" s="268"/>
      <c r="L303" s="268"/>
      <c r="M303" s="268"/>
      <c r="N303" s="268"/>
      <c r="O303" s="268"/>
      <c r="P303" s="268"/>
      <c r="Q303" s="268"/>
      <c r="R303" s="268"/>
      <c r="S303" s="268"/>
      <c r="T303" s="266"/>
    </row>
    <row r="304" spans="1:20" s="265" customFormat="1" ht="145.5" customHeight="1">
      <c r="A304" s="427" t="s">
        <v>1138</v>
      </c>
      <c r="B304" s="427"/>
      <c r="C304" s="427"/>
      <c r="D304" s="427"/>
      <c r="E304" s="427"/>
      <c r="F304" s="427"/>
      <c r="G304" s="427"/>
      <c r="H304" s="427"/>
      <c r="I304" s="427"/>
      <c r="J304" s="427"/>
      <c r="K304" s="427"/>
      <c r="L304" s="427"/>
      <c r="M304" s="427"/>
      <c r="N304" s="427"/>
      <c r="O304" s="427"/>
      <c r="P304" s="427"/>
      <c r="Q304" s="427"/>
      <c r="R304" s="427"/>
      <c r="S304" s="427"/>
      <c r="T304" s="266"/>
    </row>
    <row r="305" spans="1:20" s="265" customFormat="1" ht="5.25" customHeight="1">
      <c r="A305" s="268"/>
      <c r="B305" s="268"/>
      <c r="C305" s="268"/>
      <c r="D305" s="268"/>
      <c r="E305" s="268"/>
      <c r="F305" s="268"/>
      <c r="G305" s="268"/>
      <c r="H305" s="268"/>
      <c r="I305" s="268"/>
      <c r="J305" s="268"/>
      <c r="K305" s="268"/>
      <c r="L305" s="268"/>
      <c r="M305" s="268"/>
      <c r="N305" s="268"/>
      <c r="O305" s="268"/>
      <c r="P305" s="268"/>
      <c r="Q305" s="268"/>
      <c r="R305" s="268"/>
      <c r="S305" s="268"/>
      <c r="T305" s="266"/>
    </row>
    <row r="306" spans="1:20" s="265" customFormat="1" ht="15.75" customHeight="1">
      <c r="A306" s="426" t="str">
        <f>'Tabell 4.4–4.6'!B30</f>
        <v>Tabell 4.5. Personal för trafik – Spårvägar.</v>
      </c>
      <c r="B306" s="427"/>
      <c r="C306" s="427"/>
      <c r="D306" s="427"/>
      <c r="E306" s="427"/>
      <c r="F306" s="427"/>
      <c r="G306" s="427"/>
      <c r="H306" s="427"/>
      <c r="I306" s="427"/>
      <c r="J306" s="427"/>
      <c r="K306" s="427"/>
      <c r="L306" s="427"/>
      <c r="M306" s="427"/>
      <c r="N306" s="427"/>
      <c r="O306" s="427"/>
      <c r="P306" s="427"/>
      <c r="Q306" s="427"/>
      <c r="R306" s="427"/>
      <c r="S306" s="427"/>
      <c r="T306" s="266"/>
    </row>
    <row r="307" spans="1:20" s="265" customFormat="1" ht="5.25" customHeight="1">
      <c r="A307" s="268"/>
      <c r="B307" s="268"/>
      <c r="C307" s="268"/>
      <c r="D307" s="268"/>
      <c r="E307" s="268"/>
      <c r="F307" s="268"/>
      <c r="G307" s="268"/>
      <c r="H307" s="268"/>
      <c r="I307" s="268"/>
      <c r="J307" s="268"/>
      <c r="K307" s="268"/>
      <c r="L307" s="268"/>
      <c r="M307" s="268"/>
      <c r="N307" s="268"/>
      <c r="O307" s="268"/>
      <c r="P307" s="268"/>
      <c r="Q307" s="268"/>
      <c r="R307" s="268"/>
      <c r="S307" s="268"/>
      <c r="T307" s="266"/>
    </row>
    <row r="308" spans="1:20" s="265" customFormat="1" ht="15.75" customHeight="1">
      <c r="A308" s="427" t="s">
        <v>1139</v>
      </c>
      <c r="B308" s="427"/>
      <c r="C308" s="427"/>
      <c r="D308" s="427"/>
      <c r="E308" s="427"/>
      <c r="F308" s="427"/>
      <c r="G308" s="427"/>
      <c r="H308" s="427"/>
      <c r="I308" s="427"/>
      <c r="J308" s="427"/>
      <c r="K308" s="427"/>
      <c r="L308" s="427"/>
      <c r="M308" s="427"/>
      <c r="N308" s="427"/>
      <c r="O308" s="427"/>
      <c r="P308" s="427"/>
      <c r="Q308" s="427"/>
      <c r="R308" s="427"/>
      <c r="S308" s="427"/>
      <c r="T308" s="266"/>
    </row>
    <row r="309" spans="1:20" s="265" customFormat="1" ht="5.25" customHeight="1">
      <c r="A309" s="268"/>
      <c r="B309" s="268"/>
      <c r="C309" s="268"/>
      <c r="D309" s="268"/>
      <c r="E309" s="268"/>
      <c r="F309" s="268"/>
      <c r="G309" s="268"/>
      <c r="H309" s="268"/>
      <c r="I309" s="268"/>
      <c r="J309" s="268"/>
      <c r="K309" s="268"/>
      <c r="L309" s="268"/>
      <c r="M309" s="268"/>
      <c r="N309" s="268"/>
      <c r="O309" s="268"/>
      <c r="P309" s="268"/>
      <c r="Q309" s="268"/>
      <c r="R309" s="268"/>
      <c r="S309" s="268"/>
      <c r="T309" s="266"/>
    </row>
    <row r="310" spans="1:20" s="265" customFormat="1" ht="15.75" customHeight="1">
      <c r="A310" s="426" t="str">
        <f>'Tabell 4.4–4.6'!B46</f>
        <v>Tabell 4.6. Personal för trafik – Tunnelbanan.</v>
      </c>
      <c r="B310" s="427"/>
      <c r="C310" s="427"/>
      <c r="D310" s="427"/>
      <c r="E310" s="427"/>
      <c r="F310" s="427"/>
      <c r="G310" s="427"/>
      <c r="H310" s="427"/>
      <c r="I310" s="427"/>
      <c r="J310" s="427"/>
      <c r="K310" s="427"/>
      <c r="L310" s="427"/>
      <c r="M310" s="427"/>
      <c r="N310" s="427"/>
      <c r="O310" s="427"/>
      <c r="P310" s="427"/>
      <c r="Q310" s="427"/>
      <c r="R310" s="427"/>
      <c r="S310" s="427"/>
      <c r="T310" s="266"/>
    </row>
    <row r="311" spans="1:20" s="265" customFormat="1" ht="5.25" customHeight="1">
      <c r="A311" s="268"/>
      <c r="B311" s="268"/>
      <c r="C311" s="268"/>
      <c r="D311" s="268"/>
      <c r="E311" s="268"/>
      <c r="F311" s="268"/>
      <c r="G311" s="268"/>
      <c r="H311" s="268"/>
      <c r="I311" s="268"/>
      <c r="J311" s="268"/>
      <c r="K311" s="268"/>
      <c r="L311" s="268"/>
      <c r="M311" s="268"/>
      <c r="N311" s="268"/>
      <c r="O311" s="268"/>
      <c r="P311" s="268"/>
      <c r="Q311" s="268"/>
      <c r="R311" s="268"/>
      <c r="S311" s="268"/>
      <c r="T311" s="266"/>
    </row>
    <row r="312" spans="1:20" s="265" customFormat="1" ht="15.75" customHeight="1">
      <c r="A312" s="427" t="s">
        <v>1140</v>
      </c>
      <c r="B312" s="427"/>
      <c r="C312" s="427"/>
      <c r="D312" s="427"/>
      <c r="E312" s="427"/>
      <c r="F312" s="427"/>
      <c r="G312" s="427"/>
      <c r="H312" s="427"/>
      <c r="I312" s="427"/>
      <c r="J312" s="427"/>
      <c r="K312" s="427"/>
      <c r="L312" s="427"/>
      <c r="M312" s="427"/>
      <c r="N312" s="427"/>
      <c r="O312" s="427"/>
      <c r="P312" s="427"/>
      <c r="Q312" s="427"/>
      <c r="R312" s="427"/>
      <c r="S312" s="427"/>
      <c r="T312" s="266"/>
    </row>
    <row r="313" spans="1:20" s="265" customFormat="1" ht="5.25" customHeight="1">
      <c r="A313" s="268"/>
      <c r="B313" s="268"/>
      <c r="C313" s="268"/>
      <c r="D313" s="268"/>
      <c r="E313" s="268"/>
      <c r="F313" s="268"/>
      <c r="G313" s="268"/>
      <c r="H313" s="268"/>
      <c r="I313" s="268"/>
      <c r="J313" s="268"/>
      <c r="K313" s="268"/>
      <c r="L313" s="268"/>
      <c r="M313" s="268"/>
      <c r="N313" s="268"/>
      <c r="O313" s="268"/>
      <c r="P313" s="268"/>
      <c r="Q313" s="268"/>
      <c r="R313" s="268"/>
      <c r="S313" s="268"/>
      <c r="T313" s="266"/>
    </row>
    <row r="314" spans="1:20" s="265" customFormat="1" ht="5.25" customHeight="1">
      <c r="A314" s="268"/>
      <c r="B314" s="268"/>
      <c r="C314" s="268"/>
      <c r="D314" s="268"/>
      <c r="E314" s="268"/>
      <c r="F314" s="268"/>
      <c r="G314" s="268"/>
      <c r="H314" s="268"/>
      <c r="I314" s="268"/>
      <c r="J314" s="268"/>
      <c r="K314" s="268"/>
      <c r="L314" s="268"/>
      <c r="M314" s="268"/>
      <c r="N314" s="268"/>
      <c r="O314" s="268"/>
      <c r="P314" s="268"/>
      <c r="Q314" s="268"/>
      <c r="R314" s="268"/>
      <c r="S314" s="268"/>
      <c r="T314" s="266"/>
    </row>
    <row r="315" spans="1:20" s="265" customFormat="1" ht="15.75" customHeight="1">
      <c r="A315" s="426" t="str">
        <f>'Tabell 4.7'!B1</f>
        <v>Tabell 4.7. Godstransporter på järnväg, fördelat på typ av transport.</v>
      </c>
      <c r="B315" s="427"/>
      <c r="C315" s="427"/>
      <c r="D315" s="427"/>
      <c r="E315" s="427"/>
      <c r="F315" s="427"/>
      <c r="G315" s="427"/>
      <c r="H315" s="427"/>
      <c r="I315" s="427"/>
      <c r="J315" s="427"/>
      <c r="K315" s="427"/>
      <c r="L315" s="427"/>
      <c r="M315" s="427"/>
      <c r="N315" s="427"/>
      <c r="O315" s="427"/>
      <c r="P315" s="427"/>
      <c r="Q315" s="427"/>
      <c r="R315" s="427"/>
      <c r="S315" s="427"/>
      <c r="T315" s="266"/>
    </row>
    <row r="316" spans="1:20" s="265" customFormat="1" ht="5.25" customHeight="1">
      <c r="A316" s="268"/>
      <c r="B316" s="268"/>
      <c r="C316" s="268"/>
      <c r="D316" s="268"/>
      <c r="E316" s="268"/>
      <c r="F316" s="268"/>
      <c r="G316" s="268"/>
      <c r="H316" s="268"/>
      <c r="I316" s="268"/>
      <c r="J316" s="268"/>
      <c r="K316" s="268"/>
      <c r="L316" s="268"/>
      <c r="M316" s="268"/>
      <c r="N316" s="268"/>
      <c r="O316" s="268"/>
      <c r="P316" s="268"/>
      <c r="Q316" s="268"/>
      <c r="R316" s="268"/>
      <c r="S316" s="268"/>
      <c r="T316" s="266"/>
    </row>
    <row r="317" spans="1:20" s="265" customFormat="1" ht="105.75" customHeight="1">
      <c r="A317" s="427" t="s">
        <v>1410</v>
      </c>
      <c r="B317" s="427"/>
      <c r="C317" s="427"/>
      <c r="D317" s="427"/>
      <c r="E317" s="427"/>
      <c r="F317" s="427"/>
      <c r="G317" s="427"/>
      <c r="H317" s="427"/>
      <c r="I317" s="427"/>
      <c r="J317" s="427"/>
      <c r="K317" s="427"/>
      <c r="L317" s="427"/>
      <c r="M317" s="427"/>
      <c r="N317" s="427"/>
      <c r="O317" s="427"/>
      <c r="P317" s="427"/>
      <c r="Q317" s="427"/>
      <c r="R317" s="427"/>
      <c r="S317" s="427"/>
      <c r="T317" s="266"/>
    </row>
    <row r="318" spans="1:20" s="265" customFormat="1" ht="5.25" customHeight="1">
      <c r="A318" s="268"/>
      <c r="B318" s="268"/>
      <c r="C318" s="268"/>
      <c r="D318" s="268"/>
      <c r="E318" s="268"/>
      <c r="F318" s="268"/>
      <c r="G318" s="268"/>
      <c r="H318" s="268"/>
      <c r="I318" s="268"/>
      <c r="J318" s="268"/>
      <c r="K318" s="268"/>
      <c r="L318" s="268"/>
      <c r="M318" s="268"/>
      <c r="N318" s="268"/>
      <c r="O318" s="268"/>
      <c r="P318" s="268"/>
      <c r="Q318" s="268"/>
      <c r="R318" s="268"/>
      <c r="S318" s="268"/>
      <c r="T318" s="266"/>
    </row>
    <row r="319" spans="1:20" s="265" customFormat="1" ht="28.5" customHeight="1">
      <c r="A319" s="427" t="s">
        <v>755</v>
      </c>
      <c r="B319" s="427"/>
      <c r="C319" s="427"/>
      <c r="D319" s="427"/>
      <c r="E319" s="427"/>
      <c r="F319" s="427"/>
      <c r="G319" s="427"/>
      <c r="H319" s="427"/>
      <c r="I319" s="427"/>
      <c r="J319" s="427"/>
      <c r="K319" s="427"/>
      <c r="L319" s="427"/>
      <c r="M319" s="427"/>
      <c r="N319" s="427"/>
      <c r="O319" s="427"/>
      <c r="P319" s="427"/>
      <c r="Q319" s="427"/>
      <c r="R319" s="427"/>
      <c r="S319" s="427"/>
      <c r="T319" s="266"/>
    </row>
    <row r="320" spans="1:20" s="265" customFormat="1" ht="5.25" customHeight="1">
      <c r="A320" s="268"/>
      <c r="B320" s="268"/>
      <c r="C320" s="268"/>
      <c r="D320" s="268"/>
      <c r="E320" s="268"/>
      <c r="F320" s="268"/>
      <c r="G320" s="268"/>
      <c r="H320" s="268"/>
      <c r="I320" s="268"/>
      <c r="J320" s="268"/>
      <c r="K320" s="268"/>
      <c r="L320" s="268"/>
      <c r="M320" s="268"/>
      <c r="N320" s="268"/>
      <c r="O320" s="268"/>
      <c r="P320" s="268"/>
      <c r="Q320" s="268"/>
      <c r="R320" s="268"/>
      <c r="S320" s="268"/>
      <c r="T320" s="266"/>
    </row>
    <row r="321" spans="1:20" s="265" customFormat="1" ht="28.5" customHeight="1">
      <c r="A321" s="427" t="s">
        <v>765</v>
      </c>
      <c r="B321" s="427"/>
      <c r="C321" s="427"/>
      <c r="D321" s="427"/>
      <c r="E321" s="427"/>
      <c r="F321" s="427"/>
      <c r="G321" s="427"/>
      <c r="H321" s="427"/>
      <c r="I321" s="427"/>
      <c r="J321" s="427"/>
      <c r="K321" s="427"/>
      <c r="L321" s="427"/>
      <c r="M321" s="427"/>
      <c r="N321" s="427"/>
      <c r="O321" s="427"/>
      <c r="P321" s="427"/>
      <c r="Q321" s="427"/>
      <c r="R321" s="427"/>
      <c r="S321" s="427"/>
      <c r="T321" s="266"/>
    </row>
    <row r="322" spans="1:20" s="265" customFormat="1" ht="5.25" customHeight="1">
      <c r="A322" s="268"/>
      <c r="B322" s="268"/>
      <c r="C322" s="268"/>
      <c r="D322" s="268"/>
      <c r="E322" s="268"/>
      <c r="F322" s="268"/>
      <c r="G322" s="268"/>
      <c r="H322" s="268"/>
      <c r="I322" s="268"/>
      <c r="J322" s="268"/>
      <c r="K322" s="268"/>
      <c r="L322" s="268"/>
      <c r="M322" s="268"/>
      <c r="N322" s="268"/>
      <c r="O322" s="268"/>
      <c r="P322" s="268"/>
      <c r="Q322" s="268"/>
      <c r="R322" s="268"/>
      <c r="S322" s="268"/>
      <c r="T322" s="266"/>
    </row>
    <row r="323" spans="1:20" s="265" customFormat="1" ht="28.5" customHeight="1">
      <c r="A323" s="435" t="s">
        <v>872</v>
      </c>
      <c r="B323" s="435"/>
      <c r="C323" s="435"/>
      <c r="D323" s="435"/>
      <c r="E323" s="435"/>
      <c r="F323" s="435"/>
      <c r="G323" s="435"/>
      <c r="H323" s="435"/>
      <c r="I323" s="435"/>
      <c r="J323" s="435"/>
      <c r="K323" s="435"/>
      <c r="L323" s="435"/>
      <c r="M323" s="435"/>
      <c r="N323" s="435"/>
      <c r="O323" s="435"/>
      <c r="P323" s="435"/>
      <c r="Q323" s="435"/>
      <c r="R323" s="435"/>
      <c r="S323" s="435"/>
      <c r="T323" s="266"/>
    </row>
    <row r="324" spans="1:20" s="265" customFormat="1" ht="5.25" customHeight="1">
      <c r="A324" s="268"/>
      <c r="B324" s="268"/>
      <c r="C324" s="268"/>
      <c r="D324" s="268"/>
      <c r="E324" s="268"/>
      <c r="F324" s="268"/>
      <c r="G324" s="268"/>
      <c r="H324" s="268"/>
      <c r="I324" s="268"/>
      <c r="J324" s="268"/>
      <c r="K324" s="268"/>
      <c r="L324" s="268"/>
      <c r="M324" s="268"/>
      <c r="N324" s="268"/>
      <c r="O324" s="268"/>
      <c r="P324" s="268"/>
      <c r="Q324" s="268"/>
      <c r="R324" s="268"/>
      <c r="S324" s="268"/>
      <c r="T324" s="266"/>
    </row>
    <row r="325" spans="1:20" s="265" customFormat="1" ht="28.5" customHeight="1">
      <c r="A325" s="427" t="s">
        <v>722</v>
      </c>
      <c r="B325" s="427"/>
      <c r="C325" s="427"/>
      <c r="D325" s="427"/>
      <c r="E325" s="427"/>
      <c r="F325" s="427"/>
      <c r="G325" s="427"/>
      <c r="H325" s="427"/>
      <c r="I325" s="427"/>
      <c r="J325" s="427"/>
      <c r="K325" s="427"/>
      <c r="L325" s="427"/>
      <c r="M325" s="427"/>
      <c r="N325" s="427"/>
      <c r="O325" s="427"/>
      <c r="P325" s="427"/>
      <c r="Q325" s="427"/>
      <c r="R325" s="427"/>
      <c r="S325" s="427"/>
      <c r="T325" s="266"/>
    </row>
    <row r="326" spans="1:20" s="265" customFormat="1" ht="5.25" customHeight="1">
      <c r="A326" s="268"/>
      <c r="B326" s="268"/>
      <c r="C326" s="268"/>
      <c r="D326" s="268"/>
      <c r="E326" s="268"/>
      <c r="F326" s="268"/>
      <c r="G326" s="268"/>
      <c r="H326" s="268"/>
      <c r="I326" s="268"/>
      <c r="J326" s="268"/>
      <c r="K326" s="268"/>
      <c r="L326" s="268"/>
      <c r="M326" s="268"/>
      <c r="N326" s="268"/>
      <c r="O326" s="268"/>
      <c r="P326" s="268"/>
      <c r="Q326" s="268"/>
      <c r="R326" s="268"/>
      <c r="S326" s="268"/>
      <c r="T326" s="266"/>
    </row>
    <row r="327" spans="1:20" s="265" customFormat="1" ht="28.5" customHeight="1">
      <c r="A327" s="427" t="s">
        <v>776</v>
      </c>
      <c r="B327" s="427"/>
      <c r="C327" s="427"/>
      <c r="D327" s="427"/>
      <c r="E327" s="427"/>
      <c r="F327" s="427"/>
      <c r="G327" s="427"/>
      <c r="H327" s="427"/>
      <c r="I327" s="427"/>
      <c r="J327" s="427"/>
      <c r="K327" s="427"/>
      <c r="L327" s="427"/>
      <c r="M327" s="427"/>
      <c r="N327" s="427"/>
      <c r="O327" s="427"/>
      <c r="P327" s="427"/>
      <c r="Q327" s="427"/>
      <c r="R327" s="427"/>
      <c r="S327" s="427"/>
      <c r="T327" s="266"/>
    </row>
    <row r="328" spans="1:20" s="265" customFormat="1" ht="5.25" customHeight="1">
      <c r="A328" s="268"/>
      <c r="B328" s="268"/>
      <c r="C328" s="268"/>
      <c r="D328" s="268"/>
      <c r="E328" s="268"/>
      <c r="F328" s="268"/>
      <c r="G328" s="268"/>
      <c r="H328" s="268"/>
      <c r="I328" s="268"/>
      <c r="J328" s="268"/>
      <c r="K328" s="268"/>
      <c r="L328" s="268"/>
      <c r="M328" s="268"/>
      <c r="N328" s="268"/>
      <c r="O328" s="268"/>
      <c r="P328" s="268"/>
      <c r="Q328" s="268"/>
      <c r="R328" s="268"/>
      <c r="S328" s="268"/>
      <c r="T328" s="266"/>
    </row>
    <row r="329" spans="1:20" s="265" customFormat="1" ht="28.5" customHeight="1">
      <c r="A329" s="427" t="s">
        <v>777</v>
      </c>
      <c r="B329" s="427"/>
      <c r="C329" s="427"/>
      <c r="D329" s="427"/>
      <c r="E329" s="427"/>
      <c r="F329" s="427"/>
      <c r="G329" s="427"/>
      <c r="H329" s="427"/>
      <c r="I329" s="427"/>
      <c r="J329" s="427"/>
      <c r="K329" s="427"/>
      <c r="L329" s="427"/>
      <c r="M329" s="427"/>
      <c r="N329" s="427"/>
      <c r="O329" s="427"/>
      <c r="P329" s="427"/>
      <c r="Q329" s="427"/>
      <c r="R329" s="427"/>
      <c r="S329" s="427"/>
      <c r="T329" s="266"/>
    </row>
    <row r="330" spans="1:20" s="265" customFormat="1" ht="5.25" customHeight="1">
      <c r="A330" s="268"/>
      <c r="B330" s="268"/>
      <c r="C330" s="268"/>
      <c r="D330" s="268"/>
      <c r="E330" s="268"/>
      <c r="F330" s="268"/>
      <c r="G330" s="268"/>
      <c r="H330" s="268"/>
      <c r="I330" s="268"/>
      <c r="J330" s="268"/>
      <c r="K330" s="268"/>
      <c r="L330" s="268"/>
      <c r="M330" s="268"/>
      <c r="N330" s="268"/>
      <c r="O330" s="268"/>
      <c r="P330" s="268"/>
      <c r="Q330" s="268"/>
      <c r="R330" s="268"/>
      <c r="S330" s="268"/>
      <c r="T330" s="266"/>
    </row>
    <row r="331" spans="1:20" s="265" customFormat="1" ht="15.75" customHeight="1">
      <c r="A331" s="427" t="s">
        <v>708</v>
      </c>
      <c r="B331" s="427"/>
      <c r="C331" s="427"/>
      <c r="D331" s="427"/>
      <c r="E331" s="427"/>
      <c r="F331" s="427"/>
      <c r="G331" s="427"/>
      <c r="H331" s="427"/>
      <c r="I331" s="427"/>
      <c r="J331" s="427"/>
      <c r="K331" s="427"/>
      <c r="L331" s="427"/>
      <c r="M331" s="427"/>
      <c r="N331" s="427"/>
      <c r="O331" s="427"/>
      <c r="P331" s="427"/>
      <c r="Q331" s="427"/>
      <c r="R331" s="427"/>
      <c r="S331" s="427"/>
      <c r="T331" s="266"/>
    </row>
    <row r="332" spans="1:20" s="265" customFormat="1" ht="5.25" customHeight="1">
      <c r="A332" s="268"/>
      <c r="B332" s="268"/>
      <c r="C332" s="268"/>
      <c r="D332" s="268"/>
      <c r="E332" s="268"/>
      <c r="F332" s="268"/>
      <c r="G332" s="268"/>
      <c r="H332" s="268"/>
      <c r="I332" s="268"/>
      <c r="J332" s="268"/>
      <c r="K332" s="268"/>
      <c r="L332" s="268"/>
      <c r="M332" s="268"/>
      <c r="N332" s="268"/>
      <c r="O332" s="268"/>
      <c r="P332" s="268"/>
      <c r="Q332" s="268"/>
      <c r="R332" s="268"/>
      <c r="S332" s="268"/>
      <c r="T332" s="266"/>
    </row>
    <row r="333" spans="1:20" s="265" customFormat="1" ht="28.5" customHeight="1">
      <c r="A333" s="427" t="s">
        <v>808</v>
      </c>
      <c r="B333" s="427"/>
      <c r="C333" s="427"/>
      <c r="D333" s="427"/>
      <c r="E333" s="427"/>
      <c r="F333" s="427"/>
      <c r="G333" s="427"/>
      <c r="H333" s="427"/>
      <c r="I333" s="427"/>
      <c r="J333" s="427"/>
      <c r="K333" s="427"/>
      <c r="L333" s="427"/>
      <c r="M333" s="427"/>
      <c r="N333" s="427"/>
      <c r="O333" s="427"/>
      <c r="P333" s="427"/>
      <c r="Q333" s="427"/>
      <c r="R333" s="427"/>
      <c r="S333" s="427"/>
      <c r="T333" s="266"/>
    </row>
    <row r="334" spans="1:20" s="265" customFormat="1" ht="5.25" customHeight="1">
      <c r="A334" s="268"/>
      <c r="B334" s="268"/>
      <c r="C334" s="268"/>
      <c r="D334" s="268"/>
      <c r="E334" s="268"/>
      <c r="F334" s="268"/>
      <c r="G334" s="268"/>
      <c r="H334" s="268"/>
      <c r="I334" s="268"/>
      <c r="J334" s="268"/>
      <c r="K334" s="268"/>
      <c r="L334" s="268"/>
      <c r="M334" s="268"/>
      <c r="N334" s="268"/>
      <c r="O334" s="268"/>
      <c r="P334" s="268"/>
      <c r="Q334" s="268"/>
      <c r="R334" s="268"/>
      <c r="S334" s="268"/>
      <c r="T334" s="266"/>
    </row>
    <row r="335" spans="1:20" s="265" customFormat="1" ht="28.5" customHeight="1">
      <c r="A335" s="427" t="s">
        <v>778</v>
      </c>
      <c r="B335" s="427"/>
      <c r="C335" s="427"/>
      <c r="D335" s="427"/>
      <c r="E335" s="427"/>
      <c r="F335" s="427"/>
      <c r="G335" s="427"/>
      <c r="H335" s="427"/>
      <c r="I335" s="427"/>
      <c r="J335" s="427"/>
      <c r="K335" s="427"/>
      <c r="L335" s="427"/>
      <c r="M335" s="427"/>
      <c r="N335" s="427"/>
      <c r="O335" s="427"/>
      <c r="P335" s="427"/>
      <c r="Q335" s="427"/>
      <c r="R335" s="427"/>
      <c r="S335" s="427"/>
      <c r="T335" s="266"/>
    </row>
    <row r="336" spans="1:20" s="265" customFormat="1" ht="5.25" customHeight="1">
      <c r="A336" s="268"/>
      <c r="B336" s="268"/>
      <c r="C336" s="268"/>
      <c r="D336" s="268"/>
      <c r="E336" s="268"/>
      <c r="F336" s="268"/>
      <c r="G336" s="268"/>
      <c r="H336" s="268"/>
      <c r="I336" s="268"/>
      <c r="J336" s="268"/>
      <c r="K336" s="268"/>
      <c r="L336" s="268"/>
      <c r="M336" s="268"/>
      <c r="N336" s="268"/>
      <c r="O336" s="268"/>
      <c r="P336" s="268"/>
      <c r="Q336" s="268"/>
      <c r="R336" s="268"/>
      <c r="S336" s="268"/>
      <c r="T336" s="266"/>
    </row>
    <row r="337" spans="1:20" s="265" customFormat="1" ht="15.75" customHeight="1">
      <c r="A337" s="426" t="str">
        <f>'Tabell 4.8'!B1</f>
        <v>Tabell 4.8. Varugruppsfördelning av transporterat gods på järnväg enligt NST 2007 (sida 1).</v>
      </c>
      <c r="B337" s="427"/>
      <c r="C337" s="427"/>
      <c r="D337" s="427"/>
      <c r="E337" s="427"/>
      <c r="F337" s="427"/>
      <c r="G337" s="427"/>
      <c r="H337" s="427"/>
      <c r="I337" s="427"/>
      <c r="J337" s="427"/>
      <c r="K337" s="427"/>
      <c r="L337" s="427"/>
      <c r="M337" s="427"/>
      <c r="N337" s="427"/>
      <c r="O337" s="427"/>
      <c r="P337" s="427"/>
      <c r="Q337" s="427"/>
      <c r="R337" s="427"/>
      <c r="S337" s="427"/>
      <c r="T337" s="266"/>
    </row>
    <row r="338" spans="1:20" s="265" customFormat="1" ht="5.25" customHeight="1">
      <c r="A338" s="268"/>
      <c r="B338" s="268"/>
      <c r="C338" s="268"/>
      <c r="D338" s="268"/>
      <c r="E338" s="268"/>
      <c r="F338" s="268"/>
      <c r="G338" s="268"/>
      <c r="H338" s="268"/>
      <c r="I338" s="268"/>
      <c r="J338" s="268"/>
      <c r="K338" s="268"/>
      <c r="L338" s="268"/>
      <c r="M338" s="268"/>
      <c r="N338" s="268"/>
      <c r="O338" s="268"/>
      <c r="P338" s="268"/>
      <c r="Q338" s="268"/>
      <c r="R338" s="268"/>
      <c r="S338" s="268"/>
      <c r="T338" s="266"/>
    </row>
    <row r="339" spans="1:20" s="265" customFormat="1" ht="41.25" customHeight="1">
      <c r="A339" s="427" t="s">
        <v>1411</v>
      </c>
      <c r="B339" s="427"/>
      <c r="C339" s="427"/>
      <c r="D339" s="427"/>
      <c r="E339" s="427"/>
      <c r="F339" s="427"/>
      <c r="G339" s="427"/>
      <c r="H339" s="427"/>
      <c r="I339" s="427"/>
      <c r="J339" s="427"/>
      <c r="K339" s="427"/>
      <c r="L339" s="427"/>
      <c r="M339" s="427"/>
      <c r="N339" s="427"/>
      <c r="O339" s="427"/>
      <c r="P339" s="427"/>
      <c r="Q339" s="427"/>
      <c r="R339" s="427"/>
      <c r="S339" s="427"/>
      <c r="T339" s="266"/>
    </row>
    <row r="340" spans="1:20" s="265" customFormat="1" ht="5.25" customHeight="1">
      <c r="A340" s="268"/>
      <c r="B340" s="268"/>
      <c r="C340" s="268"/>
      <c r="D340" s="268"/>
      <c r="E340" s="268"/>
      <c r="F340" s="268"/>
      <c r="G340" s="268"/>
      <c r="H340" s="268"/>
      <c r="I340" s="268"/>
      <c r="J340" s="268"/>
      <c r="K340" s="268"/>
      <c r="L340" s="268"/>
      <c r="M340" s="268"/>
      <c r="N340" s="268"/>
      <c r="O340" s="268"/>
      <c r="P340" s="268"/>
      <c r="Q340" s="268"/>
      <c r="R340" s="268"/>
      <c r="S340" s="268"/>
      <c r="T340" s="266"/>
    </row>
    <row r="341" spans="1:20" s="265" customFormat="1" ht="41.25" customHeight="1">
      <c r="A341" s="430" t="s">
        <v>1420</v>
      </c>
      <c r="B341" s="427"/>
      <c r="C341" s="427"/>
      <c r="D341" s="427"/>
      <c r="E341" s="427"/>
      <c r="F341" s="427"/>
      <c r="G341" s="427"/>
      <c r="H341" s="427"/>
      <c r="I341" s="427"/>
      <c r="J341" s="427"/>
      <c r="K341" s="427"/>
      <c r="L341" s="427"/>
      <c r="M341" s="427"/>
      <c r="N341" s="427"/>
      <c r="O341" s="427"/>
      <c r="P341" s="427"/>
      <c r="Q341" s="427"/>
      <c r="R341" s="427"/>
      <c r="S341" s="427"/>
      <c r="T341" s="266"/>
    </row>
    <row r="342" spans="1:20" s="265" customFormat="1" ht="5.25" customHeight="1">
      <c r="A342" s="268"/>
      <c r="B342" s="268"/>
      <c r="C342" s="268"/>
      <c r="D342" s="268"/>
      <c r="E342" s="268"/>
      <c r="F342" s="268"/>
      <c r="G342" s="268"/>
      <c r="H342" s="268"/>
      <c r="I342" s="268"/>
      <c r="J342" s="268"/>
      <c r="K342" s="268"/>
      <c r="L342" s="268"/>
      <c r="M342" s="268"/>
      <c r="N342" s="268"/>
      <c r="O342" s="268"/>
      <c r="P342" s="268"/>
      <c r="Q342" s="268"/>
      <c r="R342" s="268"/>
      <c r="S342" s="268"/>
      <c r="T342" s="266"/>
    </row>
    <row r="343" spans="1:20" s="265" customFormat="1" ht="80.25" customHeight="1">
      <c r="A343" s="427" t="s">
        <v>1421</v>
      </c>
      <c r="B343" s="427"/>
      <c r="C343" s="427"/>
      <c r="D343" s="427"/>
      <c r="E343" s="427"/>
      <c r="F343" s="427"/>
      <c r="G343" s="427"/>
      <c r="H343" s="427"/>
      <c r="I343" s="427"/>
      <c r="J343" s="427"/>
      <c r="K343" s="427"/>
      <c r="L343" s="427"/>
      <c r="M343" s="427"/>
      <c r="N343" s="427"/>
      <c r="O343" s="427"/>
      <c r="P343" s="427"/>
      <c r="Q343" s="427"/>
      <c r="R343" s="427"/>
      <c r="S343" s="427"/>
      <c r="T343" s="266"/>
    </row>
    <row r="344" spans="1:20" s="265" customFormat="1" ht="5.25" customHeight="1">
      <c r="A344" s="268"/>
      <c r="B344" s="268"/>
      <c r="C344" s="268"/>
      <c r="D344" s="268"/>
      <c r="E344" s="268"/>
      <c r="F344" s="268"/>
      <c r="G344" s="268"/>
      <c r="H344" s="268"/>
      <c r="I344" s="268"/>
      <c r="J344" s="268"/>
      <c r="K344" s="268"/>
      <c r="L344" s="268"/>
      <c r="M344" s="268"/>
      <c r="N344" s="268"/>
      <c r="O344" s="268"/>
      <c r="P344" s="268"/>
      <c r="Q344" s="268"/>
      <c r="R344" s="268"/>
      <c r="S344" s="268"/>
      <c r="T344" s="266"/>
    </row>
    <row r="345" spans="1:20" s="265" customFormat="1" ht="41.25" customHeight="1">
      <c r="A345" s="430" t="s">
        <v>740</v>
      </c>
      <c r="B345" s="427"/>
      <c r="C345" s="427"/>
      <c r="D345" s="427"/>
      <c r="E345" s="427"/>
      <c r="F345" s="427"/>
      <c r="G345" s="427"/>
      <c r="H345" s="427"/>
      <c r="I345" s="427"/>
      <c r="J345" s="427"/>
      <c r="K345" s="427"/>
      <c r="L345" s="427"/>
      <c r="M345" s="427"/>
      <c r="N345" s="427"/>
      <c r="O345" s="427"/>
      <c r="P345" s="427"/>
      <c r="Q345" s="427"/>
      <c r="R345" s="427"/>
      <c r="S345" s="427"/>
      <c r="T345" s="266"/>
    </row>
    <row r="346" spans="1:20" s="265" customFormat="1" ht="5.25" customHeight="1">
      <c r="A346" s="268"/>
      <c r="B346" s="268"/>
      <c r="C346" s="268"/>
      <c r="D346" s="268"/>
      <c r="E346" s="268"/>
      <c r="F346" s="268"/>
      <c r="G346" s="268"/>
      <c r="H346" s="268"/>
      <c r="I346" s="268"/>
      <c r="J346" s="268"/>
      <c r="K346" s="268"/>
      <c r="L346" s="268"/>
      <c r="M346" s="268"/>
      <c r="N346" s="268"/>
      <c r="O346" s="268"/>
      <c r="P346" s="268"/>
      <c r="Q346" s="268"/>
      <c r="R346" s="268"/>
      <c r="S346" s="268"/>
      <c r="T346" s="266"/>
    </row>
    <row r="347" spans="1:20" s="265" customFormat="1" ht="15.75" customHeight="1">
      <c r="A347" s="426" t="str">
        <f>'Tabell 4.9'!B1</f>
        <v>Tabell 4.9. Kombitransporter av gods på järnväg, fördelat på typ av lastenhet.</v>
      </c>
      <c r="B347" s="433"/>
      <c r="C347" s="433"/>
      <c r="D347" s="433"/>
      <c r="E347" s="433"/>
      <c r="F347" s="433"/>
      <c r="G347" s="433"/>
      <c r="H347" s="433"/>
      <c r="I347" s="433"/>
      <c r="J347" s="433"/>
      <c r="K347" s="433"/>
      <c r="L347" s="433"/>
      <c r="M347" s="433"/>
      <c r="N347" s="433"/>
      <c r="O347" s="433"/>
      <c r="P347" s="433"/>
      <c r="Q347" s="433"/>
      <c r="R347" s="433"/>
      <c r="S347" s="433"/>
      <c r="T347" s="266"/>
    </row>
    <row r="348" spans="1:20" s="265" customFormat="1" ht="5.25" customHeight="1">
      <c r="A348" s="268"/>
      <c r="B348" s="268"/>
      <c r="C348" s="268"/>
      <c r="D348" s="268"/>
      <c r="E348" s="268"/>
      <c r="F348" s="268"/>
      <c r="G348" s="268"/>
      <c r="H348" s="268"/>
      <c r="I348" s="268"/>
      <c r="J348" s="268"/>
      <c r="K348" s="268"/>
      <c r="L348" s="268"/>
      <c r="M348" s="268"/>
      <c r="N348" s="268"/>
      <c r="O348" s="268"/>
      <c r="P348" s="268"/>
      <c r="Q348" s="268"/>
      <c r="R348" s="268"/>
      <c r="S348" s="268"/>
      <c r="T348" s="266"/>
    </row>
    <row r="349" spans="1:20" s="265" customFormat="1" ht="200.25" customHeight="1">
      <c r="A349" s="427" t="s">
        <v>1412</v>
      </c>
      <c r="B349" s="427"/>
      <c r="C349" s="427"/>
      <c r="D349" s="427"/>
      <c r="E349" s="427"/>
      <c r="F349" s="427"/>
      <c r="G349" s="427"/>
      <c r="H349" s="427"/>
      <c r="I349" s="427"/>
      <c r="J349" s="427"/>
      <c r="K349" s="427"/>
      <c r="L349" s="427"/>
      <c r="M349" s="427"/>
      <c r="N349" s="427"/>
      <c r="O349" s="427"/>
      <c r="P349" s="427"/>
      <c r="Q349" s="427"/>
      <c r="R349" s="427"/>
      <c r="S349" s="427"/>
      <c r="T349" s="266"/>
    </row>
    <row r="350" spans="1:20" s="265" customFormat="1" ht="5.25" customHeight="1">
      <c r="A350" s="268"/>
      <c r="B350" s="268"/>
      <c r="C350" s="268"/>
      <c r="D350" s="268"/>
      <c r="E350" s="268"/>
      <c r="F350" s="268"/>
      <c r="G350" s="268"/>
      <c r="H350" s="268"/>
      <c r="I350" s="268"/>
      <c r="J350" s="268"/>
      <c r="K350" s="268"/>
      <c r="L350" s="268"/>
      <c r="M350" s="268"/>
      <c r="N350" s="268"/>
      <c r="O350" s="268"/>
      <c r="P350" s="268"/>
      <c r="Q350" s="268"/>
      <c r="R350" s="268"/>
      <c r="S350" s="268"/>
      <c r="T350" s="266"/>
    </row>
    <row r="351" spans="1:20" s="265" customFormat="1" ht="15.75" customHeight="1">
      <c r="A351" s="427" t="s">
        <v>785</v>
      </c>
      <c r="B351" s="427"/>
      <c r="C351" s="427"/>
      <c r="D351" s="427"/>
      <c r="E351" s="427"/>
      <c r="F351" s="427"/>
      <c r="G351" s="427"/>
      <c r="H351" s="427"/>
      <c r="I351" s="427"/>
      <c r="J351" s="427"/>
      <c r="K351" s="427"/>
      <c r="L351" s="427"/>
      <c r="M351" s="427"/>
      <c r="N351" s="427"/>
      <c r="O351" s="427"/>
      <c r="P351" s="427"/>
      <c r="Q351" s="427"/>
      <c r="R351" s="427"/>
      <c r="S351" s="427"/>
      <c r="T351" s="266"/>
    </row>
    <row r="352" spans="1:20" s="265" customFormat="1" ht="5.25" customHeight="1">
      <c r="A352" s="268"/>
      <c r="B352" s="268"/>
      <c r="C352" s="268"/>
      <c r="D352" s="268"/>
      <c r="E352" s="268"/>
      <c r="F352" s="268"/>
      <c r="G352" s="268"/>
      <c r="H352" s="268"/>
      <c r="I352" s="268"/>
      <c r="J352" s="268"/>
      <c r="K352" s="268"/>
      <c r="L352" s="268"/>
      <c r="M352" s="268"/>
      <c r="N352" s="268"/>
      <c r="O352" s="268"/>
      <c r="P352" s="268"/>
      <c r="Q352" s="268"/>
      <c r="R352" s="268"/>
      <c r="S352" s="268"/>
      <c r="T352" s="266"/>
    </row>
    <row r="353" spans="1:20" s="265" customFormat="1" ht="15.75" customHeight="1">
      <c r="A353" s="427" t="s">
        <v>709</v>
      </c>
      <c r="B353" s="427"/>
      <c r="C353" s="427"/>
      <c r="D353" s="427"/>
      <c r="E353" s="427"/>
      <c r="F353" s="427"/>
      <c r="G353" s="427"/>
      <c r="H353" s="427"/>
      <c r="I353" s="427"/>
      <c r="J353" s="427"/>
      <c r="K353" s="427"/>
      <c r="L353" s="427"/>
      <c r="M353" s="427"/>
      <c r="N353" s="427"/>
      <c r="O353" s="427"/>
      <c r="P353" s="427"/>
      <c r="Q353" s="427"/>
      <c r="R353" s="427"/>
      <c r="S353" s="427"/>
      <c r="T353" s="266"/>
    </row>
    <row r="354" spans="1:20" s="265" customFormat="1" ht="5.25" customHeight="1">
      <c r="A354" s="268"/>
      <c r="B354" s="268"/>
      <c r="C354" s="268"/>
      <c r="D354" s="268"/>
      <c r="E354" s="268"/>
      <c r="F354" s="268"/>
      <c r="G354" s="268"/>
      <c r="H354" s="268"/>
      <c r="I354" s="268"/>
      <c r="J354" s="268"/>
      <c r="K354" s="268"/>
      <c r="L354" s="268"/>
      <c r="M354" s="268"/>
      <c r="N354" s="268"/>
      <c r="O354" s="268"/>
      <c r="P354" s="268"/>
      <c r="Q354" s="268"/>
      <c r="R354" s="268"/>
      <c r="S354" s="268"/>
      <c r="T354" s="266"/>
    </row>
    <row r="355" spans="1:20" s="265" customFormat="1" ht="30" customHeight="1">
      <c r="A355" s="430" t="s">
        <v>786</v>
      </c>
      <c r="B355" s="427"/>
      <c r="C355" s="427"/>
      <c r="D355" s="427"/>
      <c r="E355" s="427"/>
      <c r="F355" s="427"/>
      <c r="G355" s="427"/>
      <c r="H355" s="427"/>
      <c r="I355" s="427"/>
      <c r="J355" s="427"/>
      <c r="K355" s="427"/>
      <c r="L355" s="427"/>
      <c r="M355" s="427"/>
      <c r="N355" s="427"/>
      <c r="O355" s="427"/>
      <c r="P355" s="427"/>
      <c r="Q355" s="427"/>
      <c r="R355" s="427"/>
      <c r="S355" s="427"/>
      <c r="T355" s="266"/>
    </row>
    <row r="356" spans="1:20" s="265" customFormat="1" ht="5.25" customHeight="1">
      <c r="A356" s="268"/>
      <c r="B356" s="268"/>
      <c r="C356" s="268"/>
      <c r="D356" s="268"/>
      <c r="E356" s="268"/>
      <c r="F356" s="268"/>
      <c r="G356" s="268"/>
      <c r="H356" s="268"/>
      <c r="I356" s="268"/>
      <c r="J356" s="268"/>
      <c r="K356" s="268"/>
      <c r="L356" s="268"/>
      <c r="M356" s="268"/>
      <c r="N356" s="268"/>
      <c r="O356" s="268"/>
      <c r="P356" s="268"/>
      <c r="Q356" s="268"/>
      <c r="R356" s="268"/>
      <c r="S356" s="268"/>
      <c r="T356" s="266"/>
    </row>
    <row r="357" spans="1:20" s="265" customFormat="1" ht="15.75" customHeight="1">
      <c r="A357" s="427" t="s">
        <v>710</v>
      </c>
      <c r="B357" s="427"/>
      <c r="C357" s="427"/>
      <c r="D357" s="427"/>
      <c r="E357" s="427"/>
      <c r="F357" s="427"/>
      <c r="G357" s="427"/>
      <c r="H357" s="427"/>
      <c r="I357" s="427"/>
      <c r="J357" s="427"/>
      <c r="K357" s="427"/>
      <c r="L357" s="427"/>
      <c r="M357" s="427"/>
      <c r="N357" s="427"/>
      <c r="O357" s="427"/>
      <c r="P357" s="427"/>
      <c r="Q357" s="427"/>
      <c r="R357" s="427"/>
      <c r="S357" s="427"/>
      <c r="T357" s="266"/>
    </row>
    <row r="358" spans="1:20" s="265" customFormat="1" ht="5.25" customHeight="1">
      <c r="A358" s="268"/>
      <c r="B358" s="268"/>
      <c r="C358" s="268"/>
      <c r="D358" s="268"/>
      <c r="E358" s="268"/>
      <c r="F358" s="268"/>
      <c r="G358" s="268"/>
      <c r="H358" s="268"/>
      <c r="I358" s="268"/>
      <c r="J358" s="268"/>
      <c r="K358" s="268"/>
      <c r="L358" s="268"/>
      <c r="M358" s="268"/>
      <c r="N358" s="268"/>
      <c r="O358" s="268"/>
      <c r="P358" s="268"/>
      <c r="Q358" s="268"/>
      <c r="R358" s="268"/>
      <c r="S358" s="268"/>
      <c r="T358" s="266"/>
    </row>
    <row r="359" spans="1:20" s="265" customFormat="1" ht="28.5" customHeight="1">
      <c r="A359" s="427" t="s">
        <v>711</v>
      </c>
      <c r="B359" s="427"/>
      <c r="C359" s="427"/>
      <c r="D359" s="427"/>
      <c r="E359" s="427"/>
      <c r="F359" s="427"/>
      <c r="G359" s="427"/>
      <c r="H359" s="427"/>
      <c r="I359" s="427"/>
      <c r="J359" s="427"/>
      <c r="K359" s="427"/>
      <c r="L359" s="427"/>
      <c r="M359" s="427"/>
      <c r="N359" s="427"/>
      <c r="O359" s="427"/>
      <c r="P359" s="427"/>
      <c r="Q359" s="427"/>
      <c r="R359" s="427"/>
      <c r="S359" s="427"/>
      <c r="T359" s="266"/>
    </row>
    <row r="360" spans="1:20" s="265" customFormat="1" ht="5.25" customHeight="1">
      <c r="A360" s="268"/>
      <c r="B360" s="268"/>
      <c r="C360" s="268"/>
      <c r="D360" s="268"/>
      <c r="E360" s="268"/>
      <c r="F360" s="268"/>
      <c r="G360" s="268"/>
      <c r="H360" s="268"/>
      <c r="I360" s="268"/>
      <c r="J360" s="268"/>
      <c r="K360" s="268"/>
      <c r="L360" s="268"/>
      <c r="M360" s="268"/>
      <c r="N360" s="268"/>
      <c r="O360" s="268"/>
      <c r="P360" s="268"/>
      <c r="Q360" s="268"/>
      <c r="R360" s="268"/>
      <c r="S360" s="268"/>
      <c r="T360" s="266"/>
    </row>
    <row r="361" spans="1:20" s="265" customFormat="1" ht="15" customHeight="1">
      <c r="A361" s="427" t="s">
        <v>712</v>
      </c>
      <c r="B361" s="427"/>
      <c r="C361" s="427"/>
      <c r="D361" s="427"/>
      <c r="E361" s="427"/>
      <c r="F361" s="427"/>
      <c r="G361" s="427"/>
      <c r="H361" s="427"/>
      <c r="I361" s="427"/>
      <c r="J361" s="427"/>
      <c r="K361" s="427"/>
      <c r="L361" s="427"/>
      <c r="M361" s="427"/>
      <c r="N361" s="427"/>
      <c r="O361" s="427"/>
      <c r="P361" s="427"/>
      <c r="Q361" s="427"/>
      <c r="R361" s="427"/>
      <c r="S361" s="427"/>
      <c r="T361" s="266"/>
    </row>
    <row r="362" spans="1:20" s="265" customFormat="1" ht="5.25" customHeight="1">
      <c r="A362" s="268"/>
      <c r="B362" s="268"/>
      <c r="C362" s="268"/>
      <c r="D362" s="268"/>
      <c r="E362" s="268"/>
      <c r="F362" s="268"/>
      <c r="G362" s="268"/>
      <c r="H362" s="268"/>
      <c r="I362" s="268"/>
      <c r="J362" s="268"/>
      <c r="K362" s="268"/>
      <c r="L362" s="268"/>
      <c r="M362" s="268"/>
      <c r="N362" s="268"/>
      <c r="O362" s="268"/>
      <c r="P362" s="268"/>
      <c r="Q362" s="268"/>
      <c r="R362" s="268"/>
      <c r="S362" s="268"/>
      <c r="T362" s="266"/>
    </row>
    <row r="363" spans="1:20" s="265" customFormat="1" ht="15.75" customHeight="1">
      <c r="A363" s="426" t="str">
        <f>'Tabell 4.10'!B1</f>
        <v>Tabell 4.10. Varuslagsfördelning av transporterat farligt gods på järnväg enligt RID.</v>
      </c>
      <c r="B363" s="433"/>
      <c r="C363" s="433"/>
      <c r="D363" s="433"/>
      <c r="E363" s="433"/>
      <c r="F363" s="433"/>
      <c r="G363" s="433"/>
      <c r="H363" s="433"/>
      <c r="I363" s="433"/>
      <c r="J363" s="433"/>
      <c r="K363" s="433"/>
      <c r="L363" s="433"/>
      <c r="M363" s="433"/>
      <c r="N363" s="433"/>
      <c r="O363" s="433"/>
      <c r="P363" s="433"/>
      <c r="Q363" s="433"/>
      <c r="R363" s="433"/>
      <c r="S363" s="433"/>
      <c r="T363" s="266"/>
    </row>
    <row r="364" spans="1:20" s="265" customFormat="1" ht="5.25" customHeight="1">
      <c r="A364" s="268"/>
      <c r="B364" s="268"/>
      <c r="C364" s="268"/>
      <c r="D364" s="268"/>
      <c r="E364" s="268"/>
      <c r="F364" s="268"/>
      <c r="G364" s="268"/>
      <c r="H364" s="268"/>
      <c r="I364" s="268"/>
      <c r="J364" s="268"/>
      <c r="K364" s="268"/>
      <c r="L364" s="268"/>
      <c r="M364" s="268"/>
      <c r="N364" s="268"/>
      <c r="O364" s="268"/>
      <c r="P364" s="268"/>
      <c r="Q364" s="268"/>
      <c r="R364" s="268"/>
      <c r="S364" s="268"/>
      <c r="T364" s="266"/>
    </row>
    <row r="365" spans="1:20" s="265" customFormat="1" ht="120.75" customHeight="1">
      <c r="A365" s="427" t="s">
        <v>1413</v>
      </c>
      <c r="B365" s="427"/>
      <c r="C365" s="427"/>
      <c r="D365" s="427"/>
      <c r="E365" s="427"/>
      <c r="F365" s="427"/>
      <c r="G365" s="427"/>
      <c r="H365" s="427"/>
      <c r="I365" s="427"/>
      <c r="J365" s="427"/>
      <c r="K365" s="427"/>
      <c r="L365" s="427"/>
      <c r="M365" s="427"/>
      <c r="N365" s="427"/>
      <c r="O365" s="427"/>
      <c r="P365" s="427"/>
      <c r="Q365" s="427"/>
      <c r="R365" s="427"/>
      <c r="S365" s="427"/>
      <c r="T365" s="266"/>
    </row>
    <row r="366" spans="1:20" s="265" customFormat="1" ht="5.25" customHeight="1">
      <c r="A366" s="268"/>
      <c r="B366" s="268"/>
      <c r="C366" s="268"/>
      <c r="D366" s="268"/>
      <c r="E366" s="268"/>
      <c r="F366" s="268"/>
      <c r="G366" s="268"/>
      <c r="H366" s="268"/>
      <c r="I366" s="268"/>
      <c r="J366" s="268"/>
      <c r="K366" s="268"/>
      <c r="L366" s="268"/>
      <c r="M366" s="268"/>
      <c r="N366" s="268"/>
      <c r="O366" s="268"/>
      <c r="P366" s="268"/>
      <c r="Q366" s="268"/>
      <c r="R366" s="268"/>
      <c r="S366" s="268"/>
      <c r="T366" s="266"/>
    </row>
    <row r="367" spans="1:20" s="265" customFormat="1" ht="15.75" customHeight="1">
      <c r="A367" s="427" t="s">
        <v>713</v>
      </c>
      <c r="B367" s="427"/>
      <c r="C367" s="427"/>
      <c r="D367" s="427"/>
      <c r="E367" s="427"/>
      <c r="F367" s="427"/>
      <c r="G367" s="427"/>
      <c r="H367" s="427"/>
      <c r="I367" s="427"/>
      <c r="J367" s="427"/>
      <c r="K367" s="427"/>
      <c r="L367" s="427"/>
      <c r="M367" s="427"/>
      <c r="N367" s="427"/>
      <c r="O367" s="427"/>
      <c r="P367" s="427"/>
      <c r="Q367" s="427"/>
      <c r="R367" s="427"/>
      <c r="S367" s="427"/>
      <c r="T367" s="266"/>
    </row>
    <row r="368" spans="1:20" s="265" customFormat="1" ht="5.25" customHeight="1">
      <c r="A368" s="268"/>
      <c r="B368" s="268"/>
      <c r="C368" s="268"/>
      <c r="D368" s="268"/>
      <c r="E368" s="268"/>
      <c r="F368" s="268"/>
      <c r="G368" s="268"/>
      <c r="H368" s="268"/>
      <c r="I368" s="268"/>
      <c r="J368" s="268"/>
      <c r="K368" s="268"/>
      <c r="L368" s="268"/>
      <c r="M368" s="268"/>
      <c r="N368" s="268"/>
      <c r="O368" s="268"/>
      <c r="P368" s="268"/>
      <c r="Q368" s="268"/>
      <c r="R368" s="268"/>
      <c r="S368" s="268"/>
      <c r="T368" s="266"/>
    </row>
    <row r="369" spans="1:20" s="265" customFormat="1" ht="15.75" customHeight="1">
      <c r="A369" s="427" t="s">
        <v>714</v>
      </c>
      <c r="B369" s="427"/>
      <c r="C369" s="427"/>
      <c r="D369" s="427"/>
      <c r="E369" s="427"/>
      <c r="F369" s="427"/>
      <c r="G369" s="427"/>
      <c r="H369" s="427"/>
      <c r="I369" s="427"/>
      <c r="J369" s="427"/>
      <c r="K369" s="427"/>
      <c r="L369" s="427"/>
      <c r="M369" s="427"/>
      <c r="N369" s="427"/>
      <c r="O369" s="427"/>
      <c r="P369" s="427"/>
      <c r="Q369" s="427"/>
      <c r="R369" s="427"/>
      <c r="S369" s="427"/>
      <c r="T369" s="266"/>
    </row>
    <row r="370" spans="1:20" s="265" customFormat="1" ht="5.25" customHeight="1">
      <c r="A370" s="268"/>
      <c r="B370" s="268"/>
      <c r="C370" s="268"/>
      <c r="D370" s="268"/>
      <c r="E370" s="268"/>
      <c r="F370" s="268"/>
      <c r="G370" s="268"/>
      <c r="H370" s="268"/>
      <c r="I370" s="268"/>
      <c r="J370" s="268"/>
      <c r="K370" s="268"/>
      <c r="L370" s="268"/>
      <c r="M370" s="268"/>
      <c r="N370" s="268"/>
      <c r="O370" s="268"/>
      <c r="P370" s="268"/>
      <c r="Q370" s="268"/>
      <c r="R370" s="268"/>
      <c r="S370" s="268"/>
      <c r="T370" s="266"/>
    </row>
    <row r="371" spans="1:20" s="265" customFormat="1" ht="15.75" customHeight="1">
      <c r="A371" s="427" t="s">
        <v>715</v>
      </c>
      <c r="B371" s="427"/>
      <c r="C371" s="427"/>
      <c r="D371" s="427"/>
      <c r="E371" s="427"/>
      <c r="F371" s="427"/>
      <c r="G371" s="427"/>
      <c r="H371" s="427"/>
      <c r="I371" s="427"/>
      <c r="J371" s="427"/>
      <c r="K371" s="427"/>
      <c r="L371" s="427"/>
      <c r="M371" s="427"/>
      <c r="N371" s="427"/>
      <c r="O371" s="427"/>
      <c r="P371" s="427"/>
      <c r="Q371" s="427"/>
      <c r="R371" s="427"/>
      <c r="S371" s="427"/>
      <c r="T371" s="266"/>
    </row>
    <row r="372" spans="1:20" s="265" customFormat="1" ht="5.25" customHeight="1">
      <c r="A372" s="268"/>
      <c r="B372" s="268"/>
      <c r="C372" s="268"/>
      <c r="D372" s="268"/>
      <c r="E372" s="268"/>
      <c r="F372" s="268"/>
      <c r="G372" s="268"/>
      <c r="H372" s="268"/>
      <c r="I372" s="268"/>
      <c r="J372" s="268"/>
      <c r="K372" s="268"/>
      <c r="L372" s="268"/>
      <c r="M372" s="268"/>
      <c r="N372" s="268"/>
      <c r="O372" s="268"/>
      <c r="P372" s="268"/>
      <c r="Q372" s="268"/>
      <c r="R372" s="268"/>
      <c r="S372" s="268"/>
      <c r="T372" s="266"/>
    </row>
    <row r="373" spans="1:20" s="265" customFormat="1" ht="15.75" customHeight="1">
      <c r="A373" s="430" t="s">
        <v>716</v>
      </c>
      <c r="B373" s="427"/>
      <c r="C373" s="427"/>
      <c r="D373" s="427"/>
      <c r="E373" s="427"/>
      <c r="F373" s="427"/>
      <c r="G373" s="427"/>
      <c r="H373" s="427"/>
      <c r="I373" s="427"/>
      <c r="J373" s="427"/>
      <c r="K373" s="427"/>
      <c r="L373" s="427"/>
      <c r="M373" s="427"/>
      <c r="N373" s="427"/>
      <c r="O373" s="427"/>
      <c r="P373" s="427"/>
      <c r="Q373" s="427"/>
      <c r="R373" s="427"/>
      <c r="S373" s="427"/>
      <c r="T373" s="266"/>
    </row>
    <row r="374" spans="1:20" s="265" customFormat="1" ht="5.25" customHeight="1">
      <c r="A374" s="268"/>
      <c r="B374" s="268"/>
      <c r="C374" s="268"/>
      <c r="D374" s="268"/>
      <c r="E374" s="268"/>
      <c r="F374" s="268"/>
      <c r="G374" s="268"/>
      <c r="H374" s="268"/>
      <c r="I374" s="268"/>
      <c r="J374" s="268"/>
      <c r="K374" s="268"/>
      <c r="L374" s="268"/>
      <c r="M374" s="268"/>
      <c r="N374" s="268"/>
      <c r="O374" s="268"/>
      <c r="P374" s="268"/>
      <c r="Q374" s="268"/>
      <c r="R374" s="268"/>
      <c r="S374" s="268"/>
      <c r="T374" s="266"/>
    </row>
    <row r="375" spans="1:20" s="265" customFormat="1" ht="15.75" customHeight="1">
      <c r="A375" s="426" t="str">
        <f>'Tabell 4.11–4.13'!B1</f>
        <v>Tabell 4.11. Persontransporter – Järnvägar.</v>
      </c>
      <c r="B375" s="433"/>
      <c r="C375" s="433"/>
      <c r="D375" s="433"/>
      <c r="E375" s="433"/>
      <c r="F375" s="433"/>
      <c r="G375" s="433"/>
      <c r="H375" s="433"/>
      <c r="I375" s="433"/>
      <c r="J375" s="433"/>
      <c r="K375" s="433"/>
      <c r="L375" s="433"/>
      <c r="M375" s="433"/>
      <c r="N375" s="433"/>
      <c r="O375" s="433"/>
      <c r="P375" s="433"/>
      <c r="Q375" s="433"/>
      <c r="R375" s="433"/>
      <c r="S375" s="433"/>
      <c r="T375" s="266"/>
    </row>
    <row r="376" spans="1:20" s="265" customFormat="1" ht="5.25" customHeight="1">
      <c r="A376" s="268"/>
      <c r="B376" s="268"/>
      <c r="C376" s="268"/>
      <c r="D376" s="268"/>
      <c r="E376" s="268"/>
      <c r="F376" s="268"/>
      <c r="G376" s="268"/>
      <c r="H376" s="268"/>
      <c r="I376" s="268"/>
      <c r="J376" s="268"/>
      <c r="K376" s="268"/>
      <c r="L376" s="268"/>
      <c r="M376" s="268"/>
      <c r="N376" s="268"/>
      <c r="O376" s="268"/>
      <c r="P376" s="268"/>
      <c r="Q376" s="268"/>
      <c r="R376" s="268"/>
      <c r="S376" s="268"/>
      <c r="T376" s="266"/>
    </row>
    <row r="377" spans="1:20" s="265" customFormat="1" ht="300.75" customHeight="1">
      <c r="A377" s="427" t="s">
        <v>1414</v>
      </c>
      <c r="B377" s="427"/>
      <c r="C377" s="427"/>
      <c r="D377" s="427"/>
      <c r="E377" s="427"/>
      <c r="F377" s="427"/>
      <c r="G377" s="427"/>
      <c r="H377" s="427"/>
      <c r="I377" s="427"/>
      <c r="J377" s="427"/>
      <c r="K377" s="427"/>
      <c r="L377" s="427"/>
      <c r="M377" s="427"/>
      <c r="N377" s="427"/>
      <c r="O377" s="427"/>
      <c r="P377" s="427"/>
      <c r="Q377" s="427"/>
      <c r="R377" s="427"/>
      <c r="S377" s="427"/>
      <c r="T377" s="266"/>
    </row>
    <row r="378" spans="1:20" s="265" customFormat="1" ht="5.25" customHeight="1">
      <c r="A378" s="268"/>
      <c r="B378" s="268"/>
      <c r="C378" s="268"/>
      <c r="D378" s="268"/>
      <c r="E378" s="268"/>
      <c r="F378" s="268"/>
      <c r="G378" s="268"/>
      <c r="H378" s="268"/>
      <c r="I378" s="268"/>
      <c r="J378" s="268"/>
      <c r="K378" s="268"/>
      <c r="L378" s="268"/>
      <c r="M378" s="268"/>
      <c r="N378" s="268"/>
      <c r="O378" s="268"/>
      <c r="P378" s="268"/>
      <c r="Q378" s="268"/>
      <c r="R378" s="268"/>
      <c r="S378" s="268"/>
      <c r="T378" s="266"/>
    </row>
    <row r="379" spans="1:20" s="265" customFormat="1" ht="28.5" customHeight="1">
      <c r="A379" s="427" t="s">
        <v>717</v>
      </c>
      <c r="B379" s="427"/>
      <c r="C379" s="427"/>
      <c r="D379" s="427"/>
      <c r="E379" s="427"/>
      <c r="F379" s="427"/>
      <c r="G379" s="427"/>
      <c r="H379" s="427"/>
      <c r="I379" s="427"/>
      <c r="J379" s="427"/>
      <c r="K379" s="427"/>
      <c r="L379" s="427"/>
      <c r="M379" s="427"/>
      <c r="N379" s="427"/>
      <c r="O379" s="427"/>
      <c r="P379" s="427"/>
      <c r="Q379" s="427"/>
      <c r="R379" s="427"/>
      <c r="S379" s="427"/>
      <c r="T379" s="266"/>
    </row>
    <row r="380" spans="1:20" s="265" customFormat="1" ht="5.25" customHeight="1">
      <c r="A380" s="268"/>
      <c r="B380" s="268"/>
      <c r="C380" s="268"/>
      <c r="D380" s="268"/>
      <c r="E380" s="268"/>
      <c r="F380" s="268"/>
      <c r="G380" s="268"/>
      <c r="H380" s="268"/>
      <c r="I380" s="268"/>
      <c r="J380" s="268"/>
      <c r="K380" s="268"/>
      <c r="L380" s="268"/>
      <c r="M380" s="268"/>
      <c r="N380" s="268"/>
      <c r="O380" s="268"/>
      <c r="P380" s="268"/>
      <c r="Q380" s="268"/>
      <c r="R380" s="268"/>
      <c r="S380" s="268"/>
      <c r="T380" s="266"/>
    </row>
    <row r="381" spans="1:20" s="265" customFormat="1" ht="15.75" customHeight="1">
      <c r="A381" s="427" t="s">
        <v>718</v>
      </c>
      <c r="B381" s="427"/>
      <c r="C381" s="427"/>
      <c r="D381" s="427"/>
      <c r="E381" s="427"/>
      <c r="F381" s="427"/>
      <c r="G381" s="427"/>
      <c r="H381" s="427"/>
      <c r="I381" s="427"/>
      <c r="J381" s="427"/>
      <c r="K381" s="427"/>
      <c r="L381" s="427"/>
      <c r="M381" s="427"/>
      <c r="N381" s="427"/>
      <c r="O381" s="427"/>
      <c r="P381" s="427"/>
      <c r="Q381" s="427"/>
      <c r="R381" s="427"/>
      <c r="S381" s="427"/>
      <c r="T381" s="266"/>
    </row>
    <row r="382" spans="1:20" s="265" customFormat="1" ht="5.25" customHeight="1">
      <c r="A382" s="268"/>
      <c r="B382" s="268"/>
      <c r="C382" s="268"/>
      <c r="D382" s="268"/>
      <c r="E382" s="268"/>
      <c r="F382" s="268"/>
      <c r="G382" s="268"/>
      <c r="H382" s="268"/>
      <c r="I382" s="268"/>
      <c r="J382" s="268"/>
      <c r="K382" s="268"/>
      <c r="L382" s="268"/>
      <c r="M382" s="268"/>
      <c r="N382" s="268"/>
      <c r="O382" s="268"/>
      <c r="P382" s="268"/>
      <c r="Q382" s="268"/>
      <c r="R382" s="268"/>
      <c r="S382" s="268"/>
      <c r="T382" s="266"/>
    </row>
    <row r="383" spans="1:20" s="265" customFormat="1" ht="15.75" customHeight="1">
      <c r="A383" s="430" t="s">
        <v>719</v>
      </c>
      <c r="B383" s="427"/>
      <c r="C383" s="427"/>
      <c r="D383" s="427"/>
      <c r="E383" s="427"/>
      <c r="F383" s="427"/>
      <c r="G383" s="427"/>
      <c r="H383" s="427"/>
      <c r="I383" s="427"/>
      <c r="J383" s="427"/>
      <c r="K383" s="427"/>
      <c r="L383" s="427"/>
      <c r="M383" s="427"/>
      <c r="N383" s="427"/>
      <c r="O383" s="427"/>
      <c r="P383" s="427"/>
      <c r="Q383" s="427"/>
      <c r="R383" s="427"/>
      <c r="S383" s="427"/>
      <c r="T383" s="266"/>
    </row>
    <row r="384" spans="1:20" s="265" customFormat="1" ht="5.25" customHeight="1">
      <c r="A384" s="268"/>
      <c r="B384" s="268"/>
      <c r="C384" s="268"/>
      <c r="D384" s="268"/>
      <c r="E384" s="268"/>
      <c r="F384" s="268"/>
      <c r="G384" s="268"/>
      <c r="H384" s="268"/>
      <c r="I384" s="268"/>
      <c r="J384" s="268"/>
      <c r="K384" s="268"/>
      <c r="L384" s="268"/>
      <c r="M384" s="268"/>
      <c r="N384" s="268"/>
      <c r="O384" s="268"/>
      <c r="P384" s="268"/>
      <c r="Q384" s="268"/>
      <c r="R384" s="268"/>
      <c r="S384" s="268"/>
      <c r="T384" s="266"/>
    </row>
    <row r="385" spans="1:20" s="265" customFormat="1" ht="89.25" customHeight="1">
      <c r="A385" s="430" t="s">
        <v>809</v>
      </c>
      <c r="B385" s="427"/>
      <c r="C385" s="427"/>
      <c r="D385" s="427"/>
      <c r="E385" s="427"/>
      <c r="F385" s="427"/>
      <c r="G385" s="427"/>
      <c r="H385" s="427"/>
      <c r="I385" s="427"/>
      <c r="J385" s="427"/>
      <c r="K385" s="427"/>
      <c r="L385" s="427"/>
      <c r="M385" s="427"/>
      <c r="N385" s="427"/>
      <c r="O385" s="427"/>
      <c r="P385" s="427"/>
      <c r="Q385" s="427"/>
      <c r="R385" s="427"/>
      <c r="S385" s="427"/>
      <c r="T385" s="266"/>
    </row>
    <row r="386" spans="1:20" s="265" customFormat="1" ht="5.25" customHeight="1">
      <c r="A386" s="268"/>
      <c r="B386" s="268"/>
      <c r="C386" s="268"/>
      <c r="D386" s="268"/>
      <c r="E386" s="268"/>
      <c r="F386" s="268"/>
      <c r="G386" s="268"/>
      <c r="H386" s="268"/>
      <c r="I386" s="268"/>
      <c r="J386" s="268"/>
      <c r="K386" s="268"/>
      <c r="L386" s="268"/>
      <c r="M386" s="268"/>
      <c r="N386" s="268"/>
      <c r="O386" s="268"/>
      <c r="P386" s="268"/>
      <c r="Q386" s="268"/>
      <c r="R386" s="268"/>
      <c r="S386" s="268"/>
      <c r="T386" s="266"/>
    </row>
    <row r="387" spans="1:20" s="265" customFormat="1" ht="104.25" customHeight="1">
      <c r="A387" s="430" t="s">
        <v>863</v>
      </c>
      <c r="B387" s="427"/>
      <c r="C387" s="427"/>
      <c r="D387" s="427"/>
      <c r="E387" s="427"/>
      <c r="F387" s="427"/>
      <c r="G387" s="427"/>
      <c r="H387" s="427"/>
      <c r="I387" s="427"/>
      <c r="J387" s="427"/>
      <c r="K387" s="427"/>
      <c r="L387" s="427"/>
      <c r="M387" s="427"/>
      <c r="N387" s="427"/>
      <c r="O387" s="427"/>
      <c r="P387" s="427"/>
      <c r="Q387" s="427"/>
      <c r="R387" s="427"/>
      <c r="S387" s="427"/>
      <c r="T387" s="266"/>
    </row>
    <row r="388" spans="1:20" s="265" customFormat="1" ht="5.25" customHeight="1">
      <c r="A388" s="268"/>
      <c r="B388" s="268"/>
      <c r="C388" s="268"/>
      <c r="D388" s="268"/>
      <c r="E388" s="268"/>
      <c r="F388" s="268"/>
      <c r="G388" s="268"/>
      <c r="H388" s="268"/>
      <c r="I388" s="268"/>
      <c r="J388" s="268"/>
      <c r="K388" s="268"/>
      <c r="L388" s="268"/>
      <c r="M388" s="268"/>
      <c r="N388" s="268"/>
      <c r="O388" s="268"/>
      <c r="P388" s="268"/>
      <c r="Q388" s="268"/>
      <c r="R388" s="268"/>
      <c r="S388" s="268"/>
      <c r="T388" s="266"/>
    </row>
    <row r="389" spans="1:20" s="265" customFormat="1" ht="28.5" customHeight="1">
      <c r="A389" s="427" t="s">
        <v>864</v>
      </c>
      <c r="B389" s="427"/>
      <c r="C389" s="427"/>
      <c r="D389" s="427"/>
      <c r="E389" s="427"/>
      <c r="F389" s="427"/>
      <c r="G389" s="427"/>
      <c r="H389" s="427"/>
      <c r="I389" s="427"/>
      <c r="J389" s="427"/>
      <c r="K389" s="427"/>
      <c r="L389" s="427"/>
      <c r="M389" s="427"/>
      <c r="N389" s="427"/>
      <c r="O389" s="427"/>
      <c r="P389" s="427"/>
      <c r="Q389" s="427"/>
      <c r="R389" s="427"/>
      <c r="S389" s="427"/>
      <c r="T389" s="266"/>
    </row>
    <row r="390" spans="1:20" s="265" customFormat="1" ht="5.25" customHeight="1">
      <c r="A390" s="268"/>
      <c r="B390" s="268"/>
      <c r="C390" s="268"/>
      <c r="D390" s="268"/>
      <c r="E390" s="268"/>
      <c r="F390" s="268"/>
      <c r="G390" s="268"/>
      <c r="H390" s="268"/>
      <c r="I390" s="268"/>
      <c r="J390" s="268"/>
      <c r="K390" s="268"/>
      <c r="L390" s="268"/>
      <c r="M390" s="268"/>
      <c r="N390" s="268"/>
      <c r="O390" s="268"/>
      <c r="P390" s="268"/>
      <c r="Q390" s="268"/>
      <c r="R390" s="268"/>
      <c r="S390" s="268"/>
      <c r="T390" s="266"/>
    </row>
    <row r="391" spans="1:20" s="265" customFormat="1" ht="15.75" customHeight="1">
      <c r="A391" s="426" t="str">
        <f>'Tabell 4.11–4.13'!B51</f>
        <v>Tabell 4.12. Persontransporter – Spårvägar.</v>
      </c>
      <c r="B391" s="427"/>
      <c r="C391" s="427"/>
      <c r="D391" s="427"/>
      <c r="E391" s="427"/>
      <c r="F391" s="427"/>
      <c r="G391" s="427"/>
      <c r="H391" s="427"/>
      <c r="I391" s="427"/>
      <c r="J391" s="427"/>
      <c r="K391" s="427"/>
      <c r="L391" s="427"/>
      <c r="M391" s="427"/>
      <c r="N391" s="427"/>
      <c r="O391" s="427"/>
      <c r="P391" s="427"/>
      <c r="Q391" s="427"/>
      <c r="R391" s="427"/>
      <c r="S391" s="427"/>
      <c r="T391" s="266"/>
    </row>
    <row r="392" spans="1:20" s="265" customFormat="1" ht="5.25" customHeight="1">
      <c r="A392" s="268"/>
      <c r="B392" s="268"/>
      <c r="C392" s="268"/>
      <c r="D392" s="268"/>
      <c r="E392" s="268"/>
      <c r="F392" s="268"/>
      <c r="G392" s="268"/>
      <c r="H392" s="268"/>
      <c r="I392" s="268"/>
      <c r="J392" s="268"/>
      <c r="K392" s="268"/>
      <c r="L392" s="268"/>
      <c r="M392" s="268"/>
      <c r="N392" s="268"/>
      <c r="O392" s="268"/>
      <c r="P392" s="268"/>
      <c r="Q392" s="268"/>
      <c r="R392" s="268"/>
      <c r="S392" s="268"/>
      <c r="T392" s="266"/>
    </row>
    <row r="393" spans="1:20" s="265" customFormat="1" ht="68.25" customHeight="1">
      <c r="A393" s="427" t="s">
        <v>1416</v>
      </c>
      <c r="B393" s="427"/>
      <c r="C393" s="427"/>
      <c r="D393" s="427"/>
      <c r="E393" s="427"/>
      <c r="F393" s="427"/>
      <c r="G393" s="427"/>
      <c r="H393" s="427"/>
      <c r="I393" s="427"/>
      <c r="J393" s="427"/>
      <c r="K393" s="427"/>
      <c r="L393" s="427"/>
      <c r="M393" s="427"/>
      <c r="N393" s="427"/>
      <c r="O393" s="427"/>
      <c r="P393" s="427"/>
      <c r="Q393" s="427"/>
      <c r="R393" s="427"/>
      <c r="S393" s="427"/>
      <c r="T393" s="266"/>
    </row>
    <row r="394" spans="1:20" s="265" customFormat="1" ht="5.25" customHeight="1">
      <c r="A394" s="268"/>
      <c r="B394" s="268"/>
      <c r="C394" s="268"/>
      <c r="D394" s="268"/>
      <c r="E394" s="268"/>
      <c r="F394" s="268"/>
      <c r="G394" s="268"/>
      <c r="H394" s="268"/>
      <c r="I394" s="268"/>
      <c r="J394" s="268"/>
      <c r="K394" s="268"/>
      <c r="L394" s="268"/>
      <c r="M394" s="268"/>
      <c r="N394" s="268"/>
      <c r="O394" s="268"/>
      <c r="P394" s="268"/>
      <c r="Q394" s="268"/>
      <c r="R394" s="268"/>
      <c r="S394" s="268"/>
      <c r="T394" s="266"/>
    </row>
    <row r="395" spans="1:20" s="265" customFormat="1" ht="15.75" customHeight="1">
      <c r="A395" s="426" t="str">
        <f>'Tabell 4.11–4.13'!B72</f>
        <v>Tabell 4.13. Persontransporter – Tunnelbana.</v>
      </c>
      <c r="B395" s="427"/>
      <c r="C395" s="427"/>
      <c r="D395" s="427"/>
      <c r="E395" s="427"/>
      <c r="F395" s="427"/>
      <c r="G395" s="427"/>
      <c r="H395" s="427"/>
      <c r="I395" s="427"/>
      <c r="J395" s="427"/>
      <c r="K395" s="427"/>
      <c r="L395" s="427"/>
      <c r="M395" s="427"/>
      <c r="N395" s="427"/>
      <c r="O395" s="427"/>
      <c r="P395" s="427"/>
      <c r="Q395" s="427"/>
      <c r="R395" s="427"/>
      <c r="S395" s="427"/>
      <c r="T395" s="266"/>
    </row>
    <row r="396" spans="1:20" s="265" customFormat="1" ht="5.25" customHeight="1">
      <c r="A396" s="268"/>
      <c r="B396" s="268"/>
      <c r="C396" s="268"/>
      <c r="D396" s="268"/>
      <c r="E396" s="268"/>
      <c r="F396" s="268"/>
      <c r="G396" s="268"/>
      <c r="H396" s="268"/>
      <c r="I396" s="268"/>
      <c r="J396" s="268"/>
      <c r="K396" s="268"/>
      <c r="L396" s="268"/>
      <c r="M396" s="268"/>
      <c r="N396" s="268"/>
      <c r="O396" s="268"/>
      <c r="P396" s="268"/>
      <c r="Q396" s="268"/>
      <c r="R396" s="268"/>
      <c r="S396" s="268"/>
      <c r="T396" s="266"/>
    </row>
    <row r="397" spans="1:20" s="265" customFormat="1" ht="66.75" customHeight="1">
      <c r="A397" s="430" t="s">
        <v>1415</v>
      </c>
      <c r="B397" s="427"/>
      <c r="C397" s="427"/>
      <c r="D397" s="427"/>
      <c r="E397" s="427"/>
      <c r="F397" s="427"/>
      <c r="G397" s="427"/>
      <c r="H397" s="427"/>
      <c r="I397" s="427"/>
      <c r="J397" s="427"/>
      <c r="K397" s="427"/>
      <c r="L397" s="427"/>
      <c r="M397" s="427"/>
      <c r="N397" s="427"/>
      <c r="O397" s="427"/>
      <c r="P397" s="427"/>
      <c r="Q397" s="427"/>
      <c r="R397" s="427"/>
      <c r="S397" s="427"/>
      <c r="T397" s="266"/>
    </row>
    <row r="398" spans="1:20" s="265" customFormat="1" ht="5.25" customHeight="1">
      <c r="A398" s="267"/>
      <c r="B398" s="268"/>
      <c r="C398" s="268"/>
      <c r="D398" s="268"/>
      <c r="E398" s="268"/>
      <c r="F398" s="268"/>
      <c r="G398" s="268"/>
      <c r="H398" s="268"/>
      <c r="I398" s="268"/>
      <c r="J398" s="268"/>
      <c r="K398" s="268"/>
      <c r="L398" s="268"/>
      <c r="M398" s="268"/>
      <c r="N398" s="268"/>
      <c r="O398" s="268"/>
      <c r="P398" s="268"/>
      <c r="Q398" s="268"/>
      <c r="R398" s="268"/>
      <c r="S398" s="268"/>
      <c r="T398" s="266"/>
    </row>
    <row r="399" spans="1:20" ht="9" customHeight="1"/>
    <row r="400" spans="1:20" ht="15.75" customHeight="1">
      <c r="A400" s="275"/>
      <c r="B400" s="275"/>
      <c r="C400" s="275"/>
      <c r="D400" s="275"/>
      <c r="E400" s="275"/>
      <c r="F400" s="275"/>
      <c r="G400" s="275"/>
      <c r="H400" s="275"/>
      <c r="I400" s="275"/>
      <c r="J400" s="275"/>
      <c r="K400" s="275"/>
      <c r="L400" s="275"/>
      <c r="M400" s="275"/>
      <c r="N400" s="275"/>
      <c r="O400" s="275"/>
      <c r="P400" s="275"/>
      <c r="Q400" s="275"/>
      <c r="R400" s="275"/>
      <c r="S400" s="275"/>
    </row>
    <row r="401" ht="7.5" customHeight="1"/>
    <row r="402" ht="15.75" customHeight="1"/>
    <row r="403" ht="7.5" customHeight="1"/>
    <row r="404" ht="15.75" customHeight="1"/>
    <row r="405" ht="7.5" customHeight="1"/>
    <row r="406" ht="15.75" customHeight="1"/>
    <row r="407" ht="7.5" customHeight="1"/>
    <row r="408" ht="15.75" customHeight="1"/>
    <row r="409" ht="7.5" customHeight="1"/>
    <row r="410" ht="15.75" customHeight="1"/>
    <row r="411" ht="7.5" customHeight="1"/>
    <row r="412" ht="15.75" customHeight="1"/>
    <row r="413" ht="7.5" customHeight="1"/>
    <row r="414" ht="15.75" customHeight="1"/>
    <row r="415" ht="7.5" customHeight="1"/>
    <row r="416" ht="15.75" customHeight="1"/>
    <row r="417" ht="7.5" customHeight="1"/>
    <row r="418" ht="15.75" customHeight="1"/>
    <row r="419" ht="7.5" customHeight="1"/>
    <row r="420" ht="15.75" customHeight="1"/>
    <row r="421" ht="7.5" customHeight="1"/>
    <row r="422" ht="15.75" customHeight="1"/>
    <row r="423" ht="7.5" customHeight="1"/>
    <row r="424" ht="15.75" customHeight="1"/>
    <row r="425" ht="7.5" customHeight="1"/>
    <row r="426" ht="15.75" customHeight="1"/>
    <row r="427" ht="7.5" customHeight="1"/>
    <row r="428" ht="15.75" customHeight="1"/>
    <row r="429" ht="6" customHeight="1"/>
    <row r="430" ht="15.75" customHeight="1"/>
    <row r="431" ht="7.5" customHeight="1"/>
    <row r="432" ht="15.75" customHeight="1"/>
    <row r="433" ht="7.5" customHeight="1"/>
    <row r="434" ht="15.75" customHeight="1"/>
    <row r="435" ht="7.5" customHeight="1"/>
    <row r="436" ht="15.75" customHeight="1"/>
    <row r="437" ht="7.5" customHeight="1"/>
    <row r="438" ht="15.75" customHeight="1"/>
    <row r="439" ht="7.5" customHeight="1"/>
    <row r="440" ht="11.25" customHeight="1"/>
    <row r="441" ht="11.25" customHeight="1"/>
    <row r="442" ht="11.25" customHeight="1"/>
    <row r="443" ht="11.25" customHeight="1"/>
    <row r="444" ht="11.25" customHeight="1"/>
    <row r="445" ht="11.25" customHeight="1"/>
    <row r="446" ht="11.25" customHeight="1"/>
    <row r="447" ht="11.25" customHeight="1"/>
    <row r="448" ht="11.25" customHeight="1"/>
    <row r="449" ht="11.25" customHeight="1"/>
    <row r="450" ht="11.25" customHeight="1"/>
    <row r="451" ht="11.25" customHeight="1"/>
    <row r="452" ht="11.25" customHeight="1"/>
    <row r="453" ht="11.25" customHeight="1"/>
    <row r="454" ht="11.25" customHeight="1"/>
    <row r="455" ht="11.25" customHeight="1"/>
    <row r="456" ht="11.25" customHeight="1"/>
    <row r="457" ht="11.25" customHeight="1"/>
    <row r="458" ht="11.25" customHeight="1"/>
    <row r="459" ht="11.25" customHeight="1"/>
    <row r="460" ht="11.25" customHeight="1"/>
    <row r="461" ht="11.25" customHeight="1"/>
    <row r="462" ht="11.25" customHeight="1"/>
    <row r="463" ht="11.25" customHeight="1"/>
    <row r="464" ht="11.25" customHeight="1"/>
    <row r="465" ht="11.25" customHeight="1"/>
    <row r="466" ht="11.25" customHeight="1"/>
    <row r="467" ht="11.25" customHeight="1"/>
    <row r="468" ht="11.25" customHeight="1"/>
    <row r="469" ht="11.25" customHeight="1"/>
    <row r="470" ht="11.25" customHeight="1"/>
    <row r="471" ht="11.25" customHeight="1"/>
    <row r="472" ht="11.25" customHeight="1"/>
    <row r="473" ht="11.25" customHeight="1"/>
    <row r="474" ht="11.25" customHeight="1"/>
    <row r="475" ht="11.25" customHeight="1"/>
    <row r="476" ht="11.25" customHeight="1"/>
    <row r="477" ht="11.25" customHeight="1"/>
    <row r="478" ht="11.25" customHeight="1"/>
    <row r="479" ht="11.25" customHeight="1"/>
    <row r="480" ht="11.25" customHeight="1"/>
    <row r="481" ht="11.25" customHeight="1"/>
    <row r="482" ht="11.25" customHeight="1"/>
    <row r="483" ht="11.25" customHeight="1"/>
    <row r="484" ht="11.25" customHeight="1"/>
    <row r="485" ht="11.25" customHeight="1"/>
    <row r="486" ht="11.25" customHeight="1"/>
    <row r="487" ht="11.25" customHeight="1"/>
    <row r="488" ht="11.25" customHeight="1"/>
    <row r="489" ht="11.25" customHeight="1"/>
    <row r="490" ht="11.25" customHeight="1"/>
    <row r="491" ht="11.25" customHeight="1"/>
    <row r="492" ht="11.25" customHeight="1"/>
    <row r="493" ht="11.25" customHeight="1"/>
    <row r="494" ht="11.25" customHeight="1"/>
    <row r="495" ht="11.25" customHeight="1"/>
    <row r="496" ht="11.25" customHeight="1"/>
    <row r="497" ht="11.25" customHeight="1"/>
    <row r="498" ht="11.25" customHeight="1"/>
    <row r="499" ht="11.25" customHeight="1"/>
    <row r="500" ht="11.25" customHeight="1"/>
    <row r="501" ht="11.25" customHeight="1"/>
    <row r="502" ht="11.25" customHeight="1"/>
    <row r="503" ht="11.25" customHeight="1"/>
    <row r="504" ht="11.25" customHeight="1"/>
    <row r="505" ht="11.25" customHeight="1"/>
    <row r="506" ht="11.25" customHeight="1"/>
    <row r="507" ht="11.25" customHeight="1"/>
    <row r="508" ht="11.25" customHeight="1"/>
    <row r="509" ht="11.25" customHeight="1"/>
    <row r="510" ht="11.25" customHeight="1"/>
    <row r="511" ht="11.25" customHeight="1"/>
    <row r="512" ht="11.25" customHeight="1"/>
    <row r="513" ht="11.25" customHeight="1"/>
    <row r="514" ht="11.25" customHeight="1"/>
    <row r="515" ht="11.25" customHeight="1"/>
    <row r="516" ht="11.25" customHeight="1"/>
    <row r="517" ht="11.25" customHeight="1"/>
  </sheetData>
  <mergeCells count="202">
    <mergeCell ref="A397:S397"/>
    <mergeCell ref="A385:S385"/>
    <mergeCell ref="A387:S387"/>
    <mergeCell ref="A389:S389"/>
    <mergeCell ref="A391:S391"/>
    <mergeCell ref="A393:S393"/>
    <mergeCell ref="A395:S395"/>
    <mergeCell ref="A373:S373"/>
    <mergeCell ref="A375:S375"/>
    <mergeCell ref="A377:S377"/>
    <mergeCell ref="A379:S379"/>
    <mergeCell ref="A381:S381"/>
    <mergeCell ref="A383:S383"/>
    <mergeCell ref="A363:S363"/>
    <mergeCell ref="A365:S365"/>
    <mergeCell ref="A367:S367"/>
    <mergeCell ref="A369:S369"/>
    <mergeCell ref="A371:S371"/>
    <mergeCell ref="A349:S349"/>
    <mergeCell ref="A351:S351"/>
    <mergeCell ref="A353:S353"/>
    <mergeCell ref="A355:S355"/>
    <mergeCell ref="A357:S357"/>
    <mergeCell ref="A359:S359"/>
    <mergeCell ref="A345:S345"/>
    <mergeCell ref="A347:S347"/>
    <mergeCell ref="A325:S325"/>
    <mergeCell ref="A327:S327"/>
    <mergeCell ref="A329:S329"/>
    <mergeCell ref="A331:S331"/>
    <mergeCell ref="A333:S333"/>
    <mergeCell ref="A335:S335"/>
    <mergeCell ref="A361:S361"/>
    <mergeCell ref="A315:S315"/>
    <mergeCell ref="A317:S317"/>
    <mergeCell ref="A319:S319"/>
    <mergeCell ref="A321:S321"/>
    <mergeCell ref="A323:S323"/>
    <mergeCell ref="A337:S337"/>
    <mergeCell ref="A339:S339"/>
    <mergeCell ref="A341:S341"/>
    <mergeCell ref="A343:S343"/>
    <mergeCell ref="A302:S302"/>
    <mergeCell ref="A304:S304"/>
    <mergeCell ref="A306:S306"/>
    <mergeCell ref="A308:S308"/>
    <mergeCell ref="A310:S310"/>
    <mergeCell ref="A312:S312"/>
    <mergeCell ref="A290:S290"/>
    <mergeCell ref="A292:S292"/>
    <mergeCell ref="A294:S294"/>
    <mergeCell ref="A296:S296"/>
    <mergeCell ref="A298:S298"/>
    <mergeCell ref="A300:S300"/>
    <mergeCell ref="A278:S278"/>
    <mergeCell ref="A280:S280"/>
    <mergeCell ref="A282:S282"/>
    <mergeCell ref="A284:S284"/>
    <mergeCell ref="A286:S286"/>
    <mergeCell ref="A288:S288"/>
    <mergeCell ref="A266:S266"/>
    <mergeCell ref="A268:S268"/>
    <mergeCell ref="A270:S270"/>
    <mergeCell ref="A272:S272"/>
    <mergeCell ref="A274:S274"/>
    <mergeCell ref="A276:S276"/>
    <mergeCell ref="A254:S254"/>
    <mergeCell ref="A256:S256"/>
    <mergeCell ref="A258:S258"/>
    <mergeCell ref="A260:S260"/>
    <mergeCell ref="A262:S262"/>
    <mergeCell ref="A264:S264"/>
    <mergeCell ref="A242:S242"/>
    <mergeCell ref="A244:S244"/>
    <mergeCell ref="A246:S246"/>
    <mergeCell ref="A248:S248"/>
    <mergeCell ref="A250:S250"/>
    <mergeCell ref="A252:S252"/>
    <mergeCell ref="A230:S230"/>
    <mergeCell ref="A232:S232"/>
    <mergeCell ref="A234:S234"/>
    <mergeCell ref="A236:S236"/>
    <mergeCell ref="A238:S238"/>
    <mergeCell ref="A240:S240"/>
    <mergeCell ref="A217:S217"/>
    <mergeCell ref="A219:S219"/>
    <mergeCell ref="A221:S221"/>
    <mergeCell ref="A223:S223"/>
    <mergeCell ref="A225:S225"/>
    <mergeCell ref="A227:S227"/>
    <mergeCell ref="A229:S229"/>
    <mergeCell ref="A205:S205"/>
    <mergeCell ref="A207:S207"/>
    <mergeCell ref="A209:S209"/>
    <mergeCell ref="A211:S211"/>
    <mergeCell ref="A213:S213"/>
    <mergeCell ref="A215:S215"/>
    <mergeCell ref="A193:S193"/>
    <mergeCell ref="A195:S195"/>
    <mergeCell ref="A197:S197"/>
    <mergeCell ref="A199:S199"/>
    <mergeCell ref="A201:S201"/>
    <mergeCell ref="A203:S203"/>
    <mergeCell ref="A181:S181"/>
    <mergeCell ref="A183:S183"/>
    <mergeCell ref="A185:S185"/>
    <mergeCell ref="A187:S187"/>
    <mergeCell ref="A189:S189"/>
    <mergeCell ref="A191:S191"/>
    <mergeCell ref="A169:S169"/>
    <mergeCell ref="A171:S171"/>
    <mergeCell ref="A173:S173"/>
    <mergeCell ref="A175:S175"/>
    <mergeCell ref="A177:S177"/>
    <mergeCell ref="A179:S179"/>
    <mergeCell ref="A158:S158"/>
    <mergeCell ref="A160:S160"/>
    <mergeCell ref="A162:S162"/>
    <mergeCell ref="A165:S165"/>
    <mergeCell ref="A167:S167"/>
    <mergeCell ref="A146:S146"/>
    <mergeCell ref="A148:S148"/>
    <mergeCell ref="A150:S150"/>
    <mergeCell ref="A152:S152"/>
    <mergeCell ref="A154:S154"/>
    <mergeCell ref="A156:S156"/>
    <mergeCell ref="A136:S136"/>
    <mergeCell ref="A138:S138"/>
    <mergeCell ref="A140:S140"/>
    <mergeCell ref="A142:S142"/>
    <mergeCell ref="A144:S144"/>
    <mergeCell ref="A123:S123"/>
    <mergeCell ref="A125:S125"/>
    <mergeCell ref="A127:S127"/>
    <mergeCell ref="A129:S129"/>
    <mergeCell ref="A131:S131"/>
    <mergeCell ref="A133:S133"/>
    <mergeCell ref="A111:S111"/>
    <mergeCell ref="A113:S113"/>
    <mergeCell ref="A115:S115"/>
    <mergeCell ref="A117:S117"/>
    <mergeCell ref="A119:S119"/>
    <mergeCell ref="A121:S121"/>
    <mergeCell ref="A100:S100"/>
    <mergeCell ref="A102:S102"/>
    <mergeCell ref="A104:S104"/>
    <mergeCell ref="A107:S107"/>
    <mergeCell ref="A109:S109"/>
    <mergeCell ref="A88:S88"/>
    <mergeCell ref="A90:S90"/>
    <mergeCell ref="A92:S92"/>
    <mergeCell ref="A94:S94"/>
    <mergeCell ref="A96:S96"/>
    <mergeCell ref="A98:S98"/>
    <mergeCell ref="A76:S76"/>
    <mergeCell ref="A78:S78"/>
    <mergeCell ref="A80:S80"/>
    <mergeCell ref="A82:S82"/>
    <mergeCell ref="A84:S84"/>
    <mergeCell ref="A86:S86"/>
    <mergeCell ref="A64:S64"/>
    <mergeCell ref="A66:S66"/>
    <mergeCell ref="A68:S68"/>
    <mergeCell ref="A70:S70"/>
    <mergeCell ref="A72:S72"/>
    <mergeCell ref="A74:S74"/>
    <mergeCell ref="A52:S52"/>
    <mergeCell ref="A54:S54"/>
    <mergeCell ref="A56:S56"/>
    <mergeCell ref="A58:S58"/>
    <mergeCell ref="A60:S60"/>
    <mergeCell ref="A62:S62"/>
    <mergeCell ref="A40:S40"/>
    <mergeCell ref="A42:S42"/>
    <mergeCell ref="A44:S44"/>
    <mergeCell ref="A46:S46"/>
    <mergeCell ref="A48:S48"/>
    <mergeCell ref="A50:S50"/>
    <mergeCell ref="A28:S28"/>
    <mergeCell ref="A30:S30"/>
    <mergeCell ref="A32:S32"/>
    <mergeCell ref="A34:S34"/>
    <mergeCell ref="A36:S36"/>
    <mergeCell ref="A38:S38"/>
    <mergeCell ref="A22:S22"/>
    <mergeCell ref="A24:S24"/>
    <mergeCell ref="A26:S26"/>
    <mergeCell ref="A8:S8"/>
    <mergeCell ref="A9:S9"/>
    <mergeCell ref="A11:S11"/>
    <mergeCell ref="A13:S13"/>
    <mergeCell ref="A15:S15"/>
    <mergeCell ref="A16:S16"/>
    <mergeCell ref="A1:S1"/>
    <mergeCell ref="A2:K2"/>
    <mergeCell ref="A3:S3"/>
    <mergeCell ref="A4:S4"/>
    <mergeCell ref="A5:S5"/>
    <mergeCell ref="A7:S7"/>
    <mergeCell ref="A17:S17"/>
    <mergeCell ref="A18:S18"/>
    <mergeCell ref="A20:S20"/>
  </mergeCells>
  <hyperlinks>
    <hyperlink ref="A15:S15" location="Definitioner!B20" display="A. Sammandrag över järnvägstrafiken i Sverige " xr:uid="{00000000-0004-0000-0300-000000000000}"/>
    <hyperlink ref="A16:S16" location="Definitioner!B74" display="B. Infrastruktur" xr:uid="{00000000-0004-0000-0300-000001000000}"/>
    <hyperlink ref="A17:S17" location="Definitioner!B188" display="C: Fordon" xr:uid="{00000000-0004-0000-0300-000002000000}"/>
    <hyperlink ref="A18:S18" location="Definitioner!B277" display="D: Trafik och transporter" xr:uid="{00000000-0004-0000-0300-000003000000}"/>
  </hyperlinks>
  <pageMargins left="0.70866141732283472" right="0.70866141732283472" top="0.74803149606299213" bottom="0.74803149606299213" header="0.31496062992125984" footer="0.31496062992125984"/>
  <pageSetup paperSize="9" scale="84" fitToHeight="0"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42:T48"/>
  <sheetViews>
    <sheetView zoomScaleNormal="100" workbookViewId="0"/>
  </sheetViews>
  <sheetFormatPr defaultColWidth="9.109375" defaultRowHeight="10.199999999999999"/>
  <cols>
    <col min="1" max="16384" width="9.109375" style="233"/>
  </cols>
  <sheetData>
    <row r="42" spans="1:20" s="231" customFormat="1" ht="15.75" customHeight="1">
      <c r="A42" s="247" t="s">
        <v>1456</v>
      </c>
    </row>
    <row r="43" spans="1:20" s="232" customFormat="1" ht="15.75" customHeight="1">
      <c r="A43" s="248" t="s">
        <v>1211</v>
      </c>
    </row>
    <row r="44" spans="1:20" ht="7.5" customHeight="1">
      <c r="A44" s="248"/>
    </row>
    <row r="45" spans="1:20" ht="36.75" customHeight="1">
      <c r="A45" s="554" t="s">
        <v>1182</v>
      </c>
      <c r="B45" s="554"/>
      <c r="C45" s="554"/>
      <c r="D45" s="554"/>
      <c r="E45" s="554"/>
      <c r="F45" s="554"/>
      <c r="G45" s="554"/>
      <c r="H45" s="554"/>
      <c r="I45" s="554"/>
      <c r="J45" s="554"/>
      <c r="K45" s="554"/>
      <c r="L45" s="554"/>
      <c r="M45" s="554"/>
      <c r="N45" s="554"/>
      <c r="O45" s="554"/>
      <c r="P45" s="554"/>
      <c r="Q45" s="554"/>
      <c r="R45" s="554"/>
      <c r="S45" s="554"/>
      <c r="T45" s="554"/>
    </row>
    <row r="46" spans="1:20" ht="17.399999999999999">
      <c r="A46" s="248"/>
    </row>
    <row r="47" spans="1:20" ht="17.399999999999999">
      <c r="A47" s="248"/>
    </row>
    <row r="48" spans="1:20" ht="17.399999999999999">
      <c r="A48" s="248"/>
    </row>
  </sheetData>
  <mergeCells count="1">
    <mergeCell ref="A45:T45"/>
  </mergeCells>
  <pageMargins left="0" right="0" top="0.19685039370078741" bottom="0.19685039370078741" header="0" footer="0.31496062992125984"/>
  <pageSetup paperSize="9" scale="79"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42:Q44"/>
  <sheetViews>
    <sheetView zoomScaleNormal="100" workbookViewId="0"/>
  </sheetViews>
  <sheetFormatPr defaultColWidth="9.109375" defaultRowHeight="10.199999999999999"/>
  <cols>
    <col min="1" max="16384" width="9.109375" style="233"/>
  </cols>
  <sheetData>
    <row r="42" spans="1:17" s="231" customFormat="1" ht="15.75" customHeight="1">
      <c r="A42" s="247" t="s">
        <v>1455</v>
      </c>
    </row>
    <row r="43" spans="1:17" s="232" customFormat="1" ht="54" customHeight="1">
      <c r="A43" s="554" t="s">
        <v>1204</v>
      </c>
      <c r="B43" s="554"/>
      <c r="C43" s="554"/>
      <c r="D43" s="554"/>
      <c r="E43" s="554"/>
      <c r="F43" s="554"/>
      <c r="G43" s="554"/>
      <c r="H43" s="554"/>
      <c r="I43" s="554"/>
      <c r="J43" s="554"/>
      <c r="K43" s="554"/>
      <c r="L43" s="554"/>
      <c r="M43" s="554"/>
      <c r="N43" s="554"/>
      <c r="O43" s="554"/>
      <c r="P43" s="554"/>
      <c r="Q43" s="554"/>
    </row>
    <row r="44" spans="1:17" ht="17.399999999999999">
      <c r="A44" s="248"/>
    </row>
  </sheetData>
  <mergeCells count="1">
    <mergeCell ref="A43:Q43"/>
  </mergeCells>
  <pageMargins left="0" right="0" top="0.19685039370078741" bottom="0.19685039370078741" header="0" footer="0.31496062992125984"/>
  <pageSetup paperSize="9" scale="93"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42:A43"/>
  <sheetViews>
    <sheetView zoomScaleNormal="100" workbookViewId="0"/>
  </sheetViews>
  <sheetFormatPr defaultColWidth="9.109375" defaultRowHeight="10.199999999999999"/>
  <cols>
    <col min="1" max="16384" width="9.109375" style="233"/>
  </cols>
  <sheetData>
    <row r="42" spans="1:1" s="231" customFormat="1" ht="15.75" customHeight="1">
      <c r="A42" s="247" t="s">
        <v>1454</v>
      </c>
    </row>
    <row r="43" spans="1:1" s="232" customFormat="1" ht="15.75" customHeight="1">
      <c r="A43" s="248" t="s">
        <v>1212</v>
      </c>
    </row>
  </sheetData>
  <pageMargins left="0" right="0" top="0.19685039370078741" bottom="0.19685039370078741" header="0" footer="0.31496062992125984"/>
  <pageSetup paperSize="9" scale="93"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42:A43"/>
  <sheetViews>
    <sheetView zoomScaleNormal="100" workbookViewId="0"/>
  </sheetViews>
  <sheetFormatPr defaultColWidth="9.109375" defaultRowHeight="10.199999999999999"/>
  <cols>
    <col min="1" max="16384" width="9.109375" style="233"/>
  </cols>
  <sheetData>
    <row r="42" spans="1:1" s="231" customFormat="1" ht="15.75" customHeight="1">
      <c r="A42" s="247" t="s">
        <v>1453</v>
      </c>
    </row>
    <row r="43" spans="1:1" s="232" customFormat="1" ht="12.75" customHeight="1">
      <c r="A43" s="235"/>
    </row>
  </sheetData>
  <pageMargins left="0" right="0" top="0.19685039370078741" bottom="0.19685039370078741" header="0" footer="0.31496062992125984"/>
  <pageSetup paperSize="9" scale="93"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42:S47"/>
  <sheetViews>
    <sheetView zoomScaleNormal="100" workbookViewId="0"/>
  </sheetViews>
  <sheetFormatPr defaultColWidth="9.109375" defaultRowHeight="10.199999999999999"/>
  <cols>
    <col min="1" max="16384" width="9.109375" style="233"/>
  </cols>
  <sheetData>
    <row r="42" spans="1:19" s="231" customFormat="1" ht="15.75" customHeight="1">
      <c r="A42" s="247" t="s">
        <v>1452</v>
      </c>
    </row>
    <row r="43" spans="1:19" ht="17.399999999999999">
      <c r="A43" s="248" t="s">
        <v>1162</v>
      </c>
    </row>
    <row r="44" spans="1:19" ht="13.2">
      <c r="A44" s="313" t="s">
        <v>1079</v>
      </c>
    </row>
    <row r="46" spans="1:19" ht="18" customHeight="1">
      <c r="A46" s="248" t="s">
        <v>1213</v>
      </c>
      <c r="B46" s="232"/>
      <c r="C46" s="232"/>
      <c r="D46" s="232"/>
      <c r="E46" s="232"/>
      <c r="F46" s="232"/>
      <c r="G46" s="232"/>
      <c r="H46" s="232"/>
      <c r="I46" s="232"/>
      <c r="J46" s="232"/>
      <c r="K46" s="232"/>
      <c r="L46" s="232"/>
      <c r="M46" s="232"/>
      <c r="N46" s="232"/>
      <c r="O46" s="232"/>
      <c r="P46" s="232"/>
      <c r="Q46" s="232"/>
      <c r="R46" s="232"/>
      <c r="S46" s="232"/>
    </row>
    <row r="47" spans="1:19" ht="59.25" customHeight="1">
      <c r="A47" s="553" t="s">
        <v>1183</v>
      </c>
      <c r="B47" s="553"/>
      <c r="C47" s="553"/>
      <c r="D47" s="553"/>
      <c r="E47" s="553"/>
      <c r="F47" s="553"/>
      <c r="G47" s="553"/>
      <c r="H47" s="553"/>
      <c r="I47" s="553"/>
      <c r="J47" s="553"/>
      <c r="K47" s="553"/>
      <c r="L47" s="553"/>
      <c r="M47" s="553"/>
      <c r="N47" s="553"/>
      <c r="O47" s="553"/>
      <c r="P47" s="553"/>
      <c r="Q47" s="553"/>
      <c r="R47" s="553"/>
      <c r="S47" s="553"/>
    </row>
  </sheetData>
  <mergeCells count="1">
    <mergeCell ref="A47:S47"/>
  </mergeCells>
  <hyperlinks>
    <hyperlink ref="A44" r:id="rId1" xr:uid="{00000000-0004-0000-2B00-000000000000}"/>
  </hyperlinks>
  <pageMargins left="0" right="0" top="0.19685039370078741" bottom="0.19685039370078741" header="0" footer="0.31496062992125984"/>
  <pageSetup paperSize="9" scale="83" orientation="landscape" r:id="rId2"/>
  <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42:A44"/>
  <sheetViews>
    <sheetView zoomScaleNormal="100" workbookViewId="0"/>
  </sheetViews>
  <sheetFormatPr defaultColWidth="9.109375" defaultRowHeight="10.199999999999999"/>
  <cols>
    <col min="1" max="16384" width="9.109375" style="233"/>
  </cols>
  <sheetData>
    <row r="42" spans="1:1" s="231" customFormat="1" ht="15.75" customHeight="1">
      <c r="A42" s="247" t="s">
        <v>1451</v>
      </c>
    </row>
    <row r="43" spans="1:1" ht="17.399999999999999">
      <c r="A43" s="248" t="s">
        <v>1162</v>
      </c>
    </row>
    <row r="44" spans="1:1" ht="13.2">
      <c r="A44" s="313" t="s">
        <v>1079</v>
      </c>
    </row>
  </sheetData>
  <hyperlinks>
    <hyperlink ref="A44" r:id="rId1" xr:uid="{00000000-0004-0000-2C00-000000000000}"/>
  </hyperlinks>
  <pageMargins left="0" right="0" top="0.19685039370078741" bottom="0.19685039370078741" header="0" footer="0.31496062992125984"/>
  <pageSetup paperSize="9" scale="93" orientation="landscape" r:id="rId2"/>
  <drawing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42:A44"/>
  <sheetViews>
    <sheetView zoomScaleNormal="100" workbookViewId="0"/>
  </sheetViews>
  <sheetFormatPr defaultColWidth="9.109375" defaultRowHeight="10.199999999999999"/>
  <cols>
    <col min="1" max="16384" width="9.109375" style="233"/>
  </cols>
  <sheetData>
    <row r="42" spans="1:1" s="231" customFormat="1" ht="15.75" customHeight="1">
      <c r="A42" s="247" t="s">
        <v>1450</v>
      </c>
    </row>
    <row r="43" spans="1:1" ht="17.399999999999999">
      <c r="A43" s="248" t="s">
        <v>1162</v>
      </c>
    </row>
    <row r="44" spans="1:1" ht="13.2">
      <c r="A44" s="313" t="s">
        <v>1079</v>
      </c>
    </row>
  </sheetData>
  <hyperlinks>
    <hyperlink ref="A44" r:id="rId1" xr:uid="{00000000-0004-0000-2D00-000000000000}"/>
  </hyperlinks>
  <pageMargins left="0" right="0" top="0.19685039370078741" bottom="0.19685039370078741" header="0" footer="0.31496062992125984"/>
  <pageSetup paperSize="9" scale="93"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2"/>
  <sheetViews>
    <sheetView workbookViewId="0">
      <selection sqref="A1:C1"/>
    </sheetView>
  </sheetViews>
  <sheetFormatPr defaultColWidth="9.109375" defaultRowHeight="13.2"/>
  <cols>
    <col min="1" max="1" width="4.44140625" style="359" bestFit="1" customWidth="1"/>
    <col min="2" max="2" width="47.5546875" style="359" customWidth="1"/>
    <col min="3" max="3" width="49.88671875" style="359" customWidth="1"/>
    <col min="4" max="16384" width="9.109375" style="359"/>
  </cols>
  <sheetData>
    <row r="1" spans="1:3" ht="32.25" customHeight="1">
      <c r="A1" s="436" t="s">
        <v>1061</v>
      </c>
      <c r="B1" s="436"/>
      <c r="C1" s="436"/>
    </row>
    <row r="3" spans="1:3">
      <c r="A3" s="360" t="s">
        <v>1062</v>
      </c>
      <c r="C3" s="361" t="s">
        <v>1063</v>
      </c>
    </row>
    <row r="4" spans="1:3">
      <c r="A4" s="362"/>
    </row>
    <row r="5" spans="1:3" ht="18" customHeight="1">
      <c r="A5" s="302" t="s">
        <v>831</v>
      </c>
      <c r="B5" s="359" t="s">
        <v>1064</v>
      </c>
      <c r="C5" s="359" t="s">
        <v>1065</v>
      </c>
    </row>
    <row r="6" spans="1:3" ht="18" customHeight="1">
      <c r="A6" s="302" t="s">
        <v>832</v>
      </c>
      <c r="B6" s="359" t="s">
        <v>1066</v>
      </c>
      <c r="C6" s="359" t="s">
        <v>1067</v>
      </c>
    </row>
    <row r="7" spans="1:3" ht="18" customHeight="1">
      <c r="A7" s="304" t="s">
        <v>77</v>
      </c>
      <c r="B7" s="303" t="s">
        <v>1068</v>
      </c>
      <c r="C7" s="359" t="s">
        <v>1069</v>
      </c>
    </row>
    <row r="8" spans="1:3" ht="18" customHeight="1">
      <c r="A8" s="305" t="s">
        <v>833</v>
      </c>
      <c r="B8" s="359" t="s">
        <v>1070</v>
      </c>
      <c r="C8" s="359" t="s">
        <v>1071</v>
      </c>
    </row>
    <row r="9" spans="1:3" ht="18" customHeight="1">
      <c r="A9" s="302" t="s">
        <v>834</v>
      </c>
      <c r="B9" s="303" t="s">
        <v>1072</v>
      </c>
      <c r="C9" s="359" t="s">
        <v>1073</v>
      </c>
    </row>
    <row r="10" spans="1:3" ht="18" customHeight="1">
      <c r="A10" s="302" t="s">
        <v>835</v>
      </c>
      <c r="B10" s="303" t="s">
        <v>1074</v>
      </c>
      <c r="C10" s="359" t="s">
        <v>1075</v>
      </c>
    </row>
    <row r="11" spans="1:3" ht="26.4">
      <c r="A11" s="363" t="s">
        <v>836</v>
      </c>
      <c r="B11" s="364" t="s">
        <v>1076</v>
      </c>
      <c r="C11" s="365" t="s">
        <v>1077</v>
      </c>
    </row>
    <row r="12" spans="1:3">
      <c r="A12" s="366"/>
      <c r="B12" s="366"/>
      <c r="C12" s="366"/>
    </row>
  </sheetData>
  <mergeCells count="1">
    <mergeCell ref="A1:C1"/>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F70"/>
  <sheetViews>
    <sheetView zoomScaleNormal="100" workbookViewId="0"/>
  </sheetViews>
  <sheetFormatPr defaultColWidth="9.109375" defaultRowHeight="13.8"/>
  <cols>
    <col min="1" max="1" width="0.5546875" style="87" customWidth="1"/>
    <col min="2" max="2" width="20.33203125" style="87" customWidth="1"/>
    <col min="3" max="3" width="23.6640625" style="87" customWidth="1"/>
    <col min="4" max="4" width="2.5546875" style="87" customWidth="1"/>
    <col min="5" max="32" width="2.6640625" style="87" customWidth="1"/>
    <col min="33" max="16384" width="9.109375" style="87"/>
  </cols>
  <sheetData>
    <row r="1" spans="2:32" ht="18" customHeight="1">
      <c r="B1" s="86" t="s">
        <v>1469</v>
      </c>
    </row>
    <row r="2" spans="2:32" ht="18" customHeight="1">
      <c r="B2" s="186" t="s">
        <v>1470</v>
      </c>
    </row>
    <row r="3" spans="2:32" ht="6" customHeight="1">
      <c r="B3" s="88"/>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row>
    <row r="4" spans="2:32" ht="10.5" customHeight="1">
      <c r="B4" s="468" t="s">
        <v>1104</v>
      </c>
      <c r="C4" s="468"/>
      <c r="D4" s="90"/>
      <c r="E4" s="457" t="s">
        <v>0</v>
      </c>
      <c r="F4" s="457"/>
      <c r="G4" s="457"/>
      <c r="H4" s="457"/>
      <c r="I4" s="458"/>
      <c r="J4" s="458"/>
      <c r="K4" s="458"/>
      <c r="L4" s="458"/>
      <c r="M4" s="458"/>
      <c r="N4" s="458"/>
      <c r="O4" s="458"/>
      <c r="P4" s="458"/>
      <c r="Q4" s="458"/>
      <c r="R4" s="458"/>
      <c r="S4" s="458"/>
      <c r="T4" s="458"/>
      <c r="U4" s="458"/>
      <c r="V4" s="458"/>
      <c r="W4" s="458"/>
      <c r="X4" s="458"/>
      <c r="Y4" s="458"/>
      <c r="Z4" s="458"/>
      <c r="AA4" s="458"/>
      <c r="AB4" s="458"/>
      <c r="AC4" s="458"/>
      <c r="AD4" s="458"/>
      <c r="AE4" s="458"/>
      <c r="AF4" s="91"/>
    </row>
    <row r="5" spans="2:32" ht="10.5" customHeight="1">
      <c r="B5" s="469"/>
      <c r="C5" s="469"/>
      <c r="D5" s="92"/>
      <c r="E5" s="466" t="s">
        <v>2</v>
      </c>
      <c r="F5" s="466"/>
      <c r="G5" s="466"/>
      <c r="H5" s="466"/>
      <c r="I5" s="467"/>
      <c r="J5" s="467"/>
      <c r="K5" s="467"/>
      <c r="L5" s="467"/>
      <c r="M5" s="467"/>
      <c r="N5" s="467"/>
      <c r="O5" s="467"/>
      <c r="P5" s="467"/>
      <c r="Q5" s="467"/>
      <c r="R5" s="467"/>
      <c r="S5" s="467"/>
      <c r="T5" s="467"/>
      <c r="U5" s="467"/>
      <c r="V5" s="467"/>
      <c r="W5" s="467"/>
      <c r="X5" s="467"/>
      <c r="Y5" s="467"/>
      <c r="Z5" s="467"/>
      <c r="AA5" s="467"/>
      <c r="AB5" s="467"/>
      <c r="AC5" s="467"/>
      <c r="AD5" s="467"/>
      <c r="AE5" s="467"/>
      <c r="AF5" s="91"/>
    </row>
    <row r="6" spans="2:32" ht="11.25" customHeight="1">
      <c r="B6" s="469"/>
      <c r="C6" s="469"/>
      <c r="D6" s="92"/>
      <c r="E6" s="457" t="s">
        <v>516</v>
      </c>
      <c r="F6" s="458"/>
      <c r="G6" s="458"/>
      <c r="H6" s="458"/>
      <c r="I6" s="464"/>
      <c r="J6" s="464"/>
      <c r="K6" s="464"/>
      <c r="L6" s="464"/>
      <c r="M6" s="465"/>
      <c r="N6" s="465"/>
      <c r="O6" s="465"/>
      <c r="P6" s="465"/>
      <c r="Q6" s="465"/>
      <c r="R6" s="93"/>
      <c r="S6" s="457" t="s">
        <v>4</v>
      </c>
      <c r="T6" s="458"/>
      <c r="U6" s="458"/>
      <c r="V6" s="458"/>
      <c r="W6" s="458"/>
      <c r="X6" s="458"/>
      <c r="Y6" s="458"/>
      <c r="Z6" s="458"/>
      <c r="AA6" s="458"/>
      <c r="AB6" s="458"/>
      <c r="AC6" s="458"/>
      <c r="AD6" s="458"/>
      <c r="AE6" s="458"/>
      <c r="AF6" s="91"/>
    </row>
    <row r="7" spans="2:32" ht="11.25" customHeight="1">
      <c r="B7" s="469"/>
      <c r="C7" s="469"/>
      <c r="D7" s="92"/>
      <c r="E7" s="460"/>
      <c r="F7" s="460"/>
      <c r="G7" s="460"/>
      <c r="H7" s="460"/>
      <c r="I7" s="460"/>
      <c r="J7" s="460"/>
      <c r="K7" s="460"/>
      <c r="L7" s="460"/>
      <c r="M7" s="461"/>
      <c r="N7" s="461"/>
      <c r="O7" s="461"/>
      <c r="P7" s="461"/>
      <c r="Q7" s="461"/>
      <c r="R7" s="93"/>
      <c r="S7" s="466" t="s">
        <v>5</v>
      </c>
      <c r="T7" s="467"/>
      <c r="U7" s="467"/>
      <c r="V7" s="467"/>
      <c r="W7" s="467"/>
      <c r="X7" s="467"/>
      <c r="Y7" s="467"/>
      <c r="Z7" s="467"/>
      <c r="AA7" s="467"/>
      <c r="AB7" s="467"/>
      <c r="AC7" s="467"/>
      <c r="AD7" s="467"/>
      <c r="AE7" s="467"/>
      <c r="AF7" s="91"/>
    </row>
    <row r="8" spans="2:32" ht="11.25" customHeight="1">
      <c r="B8" s="469"/>
      <c r="C8" s="469"/>
      <c r="D8" s="92"/>
      <c r="E8" s="459" t="s">
        <v>7</v>
      </c>
      <c r="F8" s="460"/>
      <c r="G8" s="460"/>
      <c r="H8" s="460"/>
      <c r="I8" s="460"/>
      <c r="J8" s="460"/>
      <c r="K8" s="460"/>
      <c r="L8" s="460"/>
      <c r="M8" s="461"/>
      <c r="N8" s="461"/>
      <c r="O8" s="461"/>
      <c r="P8" s="461"/>
      <c r="Q8" s="461"/>
      <c r="R8" s="93"/>
      <c r="S8" s="457" t="s">
        <v>8</v>
      </c>
      <c r="T8" s="458"/>
      <c r="U8" s="458"/>
      <c r="V8" s="458"/>
      <c r="W8" s="458"/>
      <c r="X8" s="458"/>
      <c r="Y8" s="95"/>
      <c r="Z8" s="457" t="s">
        <v>9</v>
      </c>
      <c r="AA8" s="458"/>
      <c r="AB8" s="458"/>
      <c r="AC8" s="458"/>
      <c r="AD8" s="458"/>
      <c r="AE8" s="458"/>
      <c r="AF8" s="91"/>
    </row>
    <row r="9" spans="2:32" ht="11.25" customHeight="1">
      <c r="B9" s="469"/>
      <c r="C9" s="469"/>
      <c r="D9" s="92"/>
      <c r="E9" s="462"/>
      <c r="F9" s="462"/>
      <c r="G9" s="462"/>
      <c r="H9" s="462"/>
      <c r="I9" s="462"/>
      <c r="J9" s="462"/>
      <c r="K9" s="462"/>
      <c r="L9" s="462"/>
      <c r="M9" s="463"/>
      <c r="N9" s="463"/>
      <c r="O9" s="463"/>
      <c r="P9" s="463"/>
      <c r="Q9" s="463"/>
      <c r="R9" s="93"/>
      <c r="S9" s="466" t="s">
        <v>11</v>
      </c>
      <c r="T9" s="467"/>
      <c r="U9" s="467"/>
      <c r="V9" s="467"/>
      <c r="W9" s="467"/>
      <c r="X9" s="467"/>
      <c r="Y9" s="91"/>
      <c r="Z9" s="466" t="s">
        <v>12</v>
      </c>
      <c r="AA9" s="467"/>
      <c r="AB9" s="467"/>
      <c r="AC9" s="467"/>
      <c r="AD9" s="467"/>
      <c r="AE9" s="467"/>
      <c r="AF9" s="91"/>
    </row>
    <row r="10" spans="2:32" ht="11.25" customHeight="1">
      <c r="B10" s="469"/>
      <c r="C10" s="469"/>
      <c r="D10" s="92"/>
      <c r="E10" s="442" t="s">
        <v>13</v>
      </c>
      <c r="F10" s="444" t="s">
        <v>14</v>
      </c>
      <c r="G10" s="442" t="s">
        <v>573</v>
      </c>
      <c r="H10" s="444" t="s">
        <v>575</v>
      </c>
      <c r="I10" s="442" t="s">
        <v>15</v>
      </c>
      <c r="J10" s="444" t="s">
        <v>16</v>
      </c>
      <c r="K10" s="442" t="s">
        <v>17</v>
      </c>
      <c r="L10" s="444" t="s">
        <v>18</v>
      </c>
      <c r="M10" s="442" t="s">
        <v>19</v>
      </c>
      <c r="N10" s="444" t="s">
        <v>20</v>
      </c>
      <c r="O10" s="442" t="s">
        <v>537</v>
      </c>
      <c r="P10" s="444" t="s">
        <v>572</v>
      </c>
      <c r="Q10" s="444"/>
      <c r="R10" s="9"/>
      <c r="S10" s="442" t="s">
        <v>6</v>
      </c>
      <c r="T10" s="444" t="s">
        <v>10</v>
      </c>
      <c r="U10" s="442" t="s">
        <v>21</v>
      </c>
      <c r="V10" s="444" t="s">
        <v>22</v>
      </c>
      <c r="W10" s="442" t="s">
        <v>23</v>
      </c>
      <c r="X10" s="444" t="s">
        <v>24</v>
      </c>
      <c r="Y10" s="9"/>
      <c r="Z10" s="442" t="s">
        <v>6</v>
      </c>
      <c r="AA10" s="444" t="s">
        <v>10</v>
      </c>
      <c r="AB10" s="442" t="s">
        <v>21</v>
      </c>
      <c r="AC10" s="444" t="s">
        <v>22</v>
      </c>
      <c r="AD10" s="442" t="s">
        <v>23</v>
      </c>
      <c r="AE10" s="444" t="s">
        <v>24</v>
      </c>
      <c r="AF10" s="9"/>
    </row>
    <row r="11" spans="2:32" ht="11.25" customHeight="1">
      <c r="B11" s="469"/>
      <c r="C11" s="469"/>
      <c r="D11" s="92"/>
      <c r="E11" s="442"/>
      <c r="F11" s="444"/>
      <c r="G11" s="442"/>
      <c r="H11" s="444"/>
      <c r="I11" s="442"/>
      <c r="J11" s="444"/>
      <c r="K11" s="442"/>
      <c r="L11" s="444"/>
      <c r="M11" s="442"/>
      <c r="N11" s="444"/>
      <c r="O11" s="442"/>
      <c r="P11" s="444"/>
      <c r="Q11" s="444"/>
      <c r="R11" s="9"/>
      <c r="S11" s="442"/>
      <c r="T11" s="444"/>
      <c r="U11" s="442"/>
      <c r="V11" s="444"/>
      <c r="W11" s="442"/>
      <c r="X11" s="444"/>
      <c r="Y11" s="9"/>
      <c r="Z11" s="442"/>
      <c r="AA11" s="444"/>
      <c r="AB11" s="442"/>
      <c r="AC11" s="444"/>
      <c r="AD11" s="442"/>
      <c r="AE11" s="444"/>
      <c r="AF11" s="9"/>
    </row>
    <row r="12" spans="2:32" ht="128.25" customHeight="1">
      <c r="B12" s="469"/>
      <c r="C12" s="469"/>
      <c r="D12" s="92"/>
      <c r="E12" s="443"/>
      <c r="F12" s="443"/>
      <c r="G12" s="443"/>
      <c r="H12" s="443"/>
      <c r="I12" s="443"/>
      <c r="J12" s="443"/>
      <c r="K12" s="443"/>
      <c r="L12" s="443"/>
      <c r="M12" s="443"/>
      <c r="N12" s="443"/>
      <c r="O12" s="443"/>
      <c r="P12" s="443"/>
      <c r="Q12" s="443"/>
      <c r="R12" s="98"/>
      <c r="S12" s="443"/>
      <c r="T12" s="443"/>
      <c r="U12" s="443"/>
      <c r="V12" s="443"/>
      <c r="W12" s="443"/>
      <c r="X12" s="443"/>
      <c r="Y12" s="98"/>
      <c r="Z12" s="443"/>
      <c r="AA12" s="443"/>
      <c r="AB12" s="443"/>
      <c r="AC12" s="443"/>
      <c r="AD12" s="443"/>
      <c r="AE12" s="443"/>
      <c r="AF12" s="98"/>
    </row>
    <row r="13" spans="2:32" ht="6" customHeight="1">
      <c r="C13" s="92"/>
      <c r="D13" s="92"/>
      <c r="E13" s="101"/>
      <c r="F13" s="101"/>
      <c r="G13" s="101"/>
      <c r="H13" s="101"/>
      <c r="I13" s="101"/>
      <c r="J13" s="101"/>
      <c r="K13" s="101"/>
      <c r="L13" s="101"/>
      <c r="M13" s="101"/>
      <c r="N13" s="101"/>
      <c r="O13" s="102"/>
      <c r="P13" s="101"/>
      <c r="Q13" s="101"/>
      <c r="R13" s="101"/>
      <c r="S13" s="101"/>
      <c r="T13" s="101"/>
      <c r="U13" s="101"/>
      <c r="V13" s="101"/>
      <c r="W13" s="101"/>
      <c r="X13" s="101"/>
      <c r="Y13" s="101"/>
      <c r="Z13" s="101"/>
      <c r="AA13" s="101"/>
      <c r="AB13" s="101"/>
      <c r="AC13" s="101"/>
      <c r="AD13" s="101"/>
      <c r="AE13" s="101"/>
      <c r="AF13" s="101"/>
    </row>
    <row r="14" spans="2:32" ht="6" customHeight="1">
      <c r="C14" s="92"/>
      <c r="D14" s="92"/>
      <c r="E14" s="98"/>
      <c r="F14" s="98"/>
      <c r="G14" s="98"/>
      <c r="H14" s="98"/>
      <c r="I14" s="98"/>
      <c r="J14" s="98"/>
      <c r="K14" s="98"/>
      <c r="L14" s="98"/>
      <c r="M14" s="98"/>
      <c r="N14" s="98"/>
      <c r="O14" s="192"/>
      <c r="P14" s="98"/>
      <c r="Q14" s="98"/>
      <c r="R14" s="98"/>
      <c r="S14" s="98"/>
      <c r="T14" s="98"/>
      <c r="U14" s="98"/>
      <c r="V14" s="98"/>
      <c r="W14" s="98"/>
      <c r="X14" s="98"/>
      <c r="Y14" s="98"/>
      <c r="Z14" s="98"/>
      <c r="AA14" s="98"/>
      <c r="AB14" s="98"/>
      <c r="AC14" s="98"/>
      <c r="AD14" s="98"/>
      <c r="AE14" s="98"/>
      <c r="AF14" s="98"/>
    </row>
    <row r="15" spans="2:32" ht="13.5" customHeight="1">
      <c r="B15" s="455">
        <v>1</v>
      </c>
      <c r="C15" s="456"/>
      <c r="D15" s="194"/>
      <c r="E15" s="441">
        <v>2</v>
      </c>
      <c r="F15" s="441"/>
      <c r="G15" s="441">
        <v>3</v>
      </c>
      <c r="H15" s="441"/>
      <c r="I15" s="441">
        <v>4</v>
      </c>
      <c r="J15" s="441"/>
      <c r="K15" s="441">
        <v>5</v>
      </c>
      <c r="L15" s="441"/>
      <c r="M15" s="441">
        <v>6</v>
      </c>
      <c r="N15" s="441"/>
      <c r="O15" s="441">
        <v>7</v>
      </c>
      <c r="P15" s="441"/>
      <c r="R15" s="195"/>
      <c r="S15" s="441">
        <v>8</v>
      </c>
      <c r="T15" s="441"/>
      <c r="U15" s="441">
        <v>9</v>
      </c>
      <c r="V15" s="441"/>
      <c r="W15" s="441">
        <v>10</v>
      </c>
      <c r="X15" s="441"/>
      <c r="Y15" s="195"/>
      <c r="Z15" s="441">
        <v>11</v>
      </c>
      <c r="AA15" s="441"/>
      <c r="AB15" s="441">
        <v>12</v>
      </c>
      <c r="AC15" s="441"/>
      <c r="AD15" s="441">
        <v>13</v>
      </c>
      <c r="AE15" s="441"/>
      <c r="AF15" s="195"/>
    </row>
    <row r="16" spans="2:32" ht="6" customHeight="1">
      <c r="B16" s="89"/>
      <c r="C16" s="100"/>
      <c r="D16" s="100"/>
      <c r="E16" s="101"/>
      <c r="F16" s="101"/>
      <c r="G16" s="101"/>
      <c r="H16" s="101"/>
      <c r="I16" s="101"/>
      <c r="J16" s="101"/>
      <c r="K16" s="101"/>
      <c r="L16" s="101"/>
      <c r="M16" s="101"/>
      <c r="N16" s="101"/>
      <c r="O16" s="102"/>
      <c r="P16" s="101"/>
      <c r="Q16" s="101"/>
      <c r="R16" s="101"/>
      <c r="S16" s="101"/>
      <c r="T16" s="101"/>
      <c r="U16" s="101"/>
      <c r="V16" s="101"/>
      <c r="W16" s="101"/>
      <c r="X16" s="101"/>
      <c r="Y16" s="101"/>
      <c r="Z16" s="101"/>
      <c r="AA16" s="101"/>
      <c r="AB16" s="101"/>
      <c r="AC16" s="101"/>
      <c r="AD16" s="101"/>
      <c r="AE16" s="101"/>
      <c r="AF16" s="101"/>
    </row>
    <row r="17" spans="2:32" ht="6" customHeight="1">
      <c r="C17" s="92"/>
      <c r="D17" s="92"/>
      <c r="E17" s="98"/>
      <c r="F17" s="98"/>
      <c r="G17" s="98"/>
      <c r="H17" s="98"/>
      <c r="I17" s="98"/>
      <c r="J17" s="98"/>
      <c r="K17" s="98"/>
      <c r="L17" s="98"/>
      <c r="M17" s="98"/>
      <c r="N17" s="98"/>
      <c r="O17" s="192"/>
      <c r="P17" s="98"/>
      <c r="Q17" s="98"/>
      <c r="R17" s="98"/>
      <c r="S17" s="98"/>
      <c r="T17" s="98"/>
      <c r="U17" s="98"/>
      <c r="V17" s="98"/>
      <c r="W17" s="98"/>
      <c r="X17" s="98"/>
      <c r="Y17" s="98"/>
      <c r="Z17" s="98"/>
      <c r="AA17" s="98"/>
      <c r="AB17" s="98"/>
      <c r="AC17" s="98"/>
      <c r="AD17" s="98"/>
      <c r="AE17" s="98"/>
      <c r="AF17" s="98"/>
    </row>
    <row r="18" spans="2:32" ht="14.25" customHeight="1">
      <c r="B18" s="438" t="s">
        <v>33</v>
      </c>
      <c r="C18" s="439"/>
      <c r="D18" s="439"/>
      <c r="E18" s="437" t="s">
        <v>34</v>
      </c>
      <c r="F18" s="437"/>
      <c r="G18" s="437"/>
      <c r="H18" s="437"/>
      <c r="I18" s="437"/>
      <c r="J18" s="437"/>
      <c r="K18" s="437"/>
      <c r="L18" s="437"/>
      <c r="M18" s="437" t="s">
        <v>34</v>
      </c>
      <c r="N18" s="437"/>
      <c r="O18" s="437"/>
      <c r="P18" s="437"/>
      <c r="Q18" s="229"/>
      <c r="R18" s="216"/>
      <c r="S18" s="437" t="s">
        <v>34</v>
      </c>
      <c r="T18" s="437"/>
      <c r="U18" s="437"/>
      <c r="V18" s="437"/>
      <c r="W18" s="437"/>
      <c r="X18" s="437"/>
      <c r="Y18" s="216"/>
      <c r="Z18" s="437" t="s">
        <v>34</v>
      </c>
      <c r="AA18" s="437"/>
      <c r="AB18" s="437"/>
      <c r="AC18" s="437"/>
      <c r="AD18" s="437"/>
      <c r="AE18" s="437"/>
      <c r="AF18" s="229"/>
    </row>
    <row r="19" spans="2:32" ht="14.25" customHeight="1">
      <c r="B19" s="438" t="s">
        <v>538</v>
      </c>
      <c r="C19" s="439"/>
      <c r="D19" s="439"/>
      <c r="E19" s="437" t="s">
        <v>34</v>
      </c>
      <c r="F19" s="437"/>
      <c r="G19" s="437"/>
      <c r="H19" s="437"/>
      <c r="I19" s="437"/>
      <c r="J19" s="437"/>
      <c r="K19" s="437"/>
      <c r="L19" s="437"/>
      <c r="M19" s="437"/>
      <c r="N19" s="437"/>
      <c r="O19" s="437" t="s">
        <v>34</v>
      </c>
      <c r="P19" s="437"/>
      <c r="Q19" s="229"/>
      <c r="R19" s="216"/>
      <c r="S19" s="437"/>
      <c r="T19" s="437"/>
      <c r="U19" s="437"/>
      <c r="V19" s="437"/>
      <c r="W19" s="437"/>
      <c r="X19" s="437"/>
      <c r="Y19" s="216"/>
      <c r="Z19" s="437"/>
      <c r="AA19" s="437"/>
      <c r="AB19" s="437"/>
      <c r="AC19" s="437"/>
      <c r="AD19" s="437"/>
      <c r="AE19" s="437"/>
      <c r="AF19" s="229"/>
    </row>
    <row r="20" spans="2:32" ht="14.25" customHeight="1">
      <c r="B20" s="438" t="s">
        <v>52</v>
      </c>
      <c r="C20" s="439"/>
      <c r="D20" s="439"/>
      <c r="E20" s="445"/>
      <c r="F20" s="445"/>
      <c r="G20" s="445"/>
      <c r="H20" s="445"/>
      <c r="I20" s="445"/>
      <c r="J20" s="445"/>
      <c r="K20" s="437" t="s">
        <v>34</v>
      </c>
      <c r="L20" s="437"/>
      <c r="M20" s="437" t="s">
        <v>34</v>
      </c>
      <c r="N20" s="437"/>
      <c r="O20" s="437"/>
      <c r="P20" s="437"/>
      <c r="Q20" s="229"/>
      <c r="R20" s="216"/>
      <c r="S20" s="437"/>
      <c r="T20" s="437"/>
      <c r="U20" s="437"/>
      <c r="V20" s="437"/>
      <c r="W20" s="437"/>
      <c r="X20" s="437"/>
      <c r="Y20" s="216"/>
      <c r="Z20" s="437"/>
      <c r="AA20" s="437"/>
      <c r="AB20" s="437"/>
      <c r="AC20" s="437"/>
      <c r="AD20" s="437"/>
      <c r="AE20" s="437"/>
      <c r="AF20" s="216"/>
    </row>
    <row r="21" spans="2:32" ht="14.25" customHeight="1">
      <c r="B21" s="438" t="s">
        <v>574</v>
      </c>
      <c r="C21" s="439"/>
      <c r="D21" s="439"/>
      <c r="E21" s="437"/>
      <c r="F21" s="437"/>
      <c r="G21" s="437" t="s">
        <v>34</v>
      </c>
      <c r="H21" s="437"/>
      <c r="I21" s="437"/>
      <c r="J21" s="437"/>
      <c r="K21" s="437"/>
      <c r="L21" s="437"/>
      <c r="M21" s="437"/>
      <c r="N21" s="437"/>
      <c r="O21" s="437"/>
      <c r="P21" s="437"/>
      <c r="Q21" s="229"/>
      <c r="R21" s="216"/>
      <c r="S21" s="437"/>
      <c r="T21" s="437"/>
      <c r="U21" s="437"/>
      <c r="V21" s="437"/>
      <c r="W21" s="437"/>
      <c r="X21" s="437"/>
      <c r="Y21" s="216"/>
      <c r="Z21" s="437" t="s">
        <v>34</v>
      </c>
      <c r="AA21" s="437"/>
      <c r="AB21" s="437"/>
      <c r="AC21" s="437"/>
      <c r="AD21" s="437"/>
      <c r="AE21" s="437"/>
      <c r="AF21" s="229"/>
    </row>
    <row r="22" spans="2:32" ht="14.25" customHeight="1">
      <c r="B22" s="438" t="s">
        <v>571</v>
      </c>
      <c r="C22" s="439"/>
      <c r="D22" s="439"/>
      <c r="E22" s="437"/>
      <c r="F22" s="437"/>
      <c r="G22" s="437" t="s">
        <v>34</v>
      </c>
      <c r="H22" s="437"/>
      <c r="I22" s="437"/>
      <c r="J22" s="437"/>
      <c r="K22" s="437"/>
      <c r="L22" s="437"/>
      <c r="M22" s="437"/>
      <c r="N22" s="437"/>
      <c r="O22" s="437"/>
      <c r="P22" s="437"/>
      <c r="Q22" s="229"/>
      <c r="R22" s="216"/>
      <c r="S22" s="437"/>
      <c r="T22" s="437"/>
      <c r="U22" s="437"/>
      <c r="V22" s="437"/>
      <c r="W22" s="437"/>
      <c r="X22" s="437"/>
      <c r="Y22" s="216"/>
      <c r="Z22" s="437" t="s">
        <v>34</v>
      </c>
      <c r="AA22" s="437"/>
      <c r="AB22" s="437"/>
      <c r="AC22" s="437"/>
      <c r="AD22" s="437"/>
      <c r="AE22" s="437"/>
      <c r="AF22" s="229"/>
    </row>
    <row r="23" spans="2:32" ht="14.25" customHeight="1">
      <c r="B23" s="438" t="s">
        <v>526</v>
      </c>
      <c r="C23" s="439"/>
      <c r="D23" s="439"/>
      <c r="E23" s="437"/>
      <c r="F23" s="437"/>
      <c r="G23" s="437" t="s">
        <v>34</v>
      </c>
      <c r="H23" s="437"/>
      <c r="I23" s="437"/>
      <c r="J23" s="437"/>
      <c r="K23" s="437"/>
      <c r="L23" s="437"/>
      <c r="M23" s="437"/>
      <c r="N23" s="437"/>
      <c r="O23" s="437"/>
      <c r="P23" s="437"/>
      <c r="Q23" s="229"/>
      <c r="R23" s="216"/>
      <c r="S23" s="437"/>
      <c r="T23" s="437"/>
      <c r="U23" s="437"/>
      <c r="V23" s="437"/>
      <c r="W23" s="437"/>
      <c r="X23" s="437"/>
      <c r="Y23" s="216"/>
      <c r="Z23" s="437" t="s">
        <v>34</v>
      </c>
      <c r="AA23" s="437"/>
      <c r="AB23" s="437"/>
      <c r="AC23" s="437"/>
      <c r="AD23" s="437"/>
      <c r="AE23" s="437"/>
      <c r="AF23" s="229"/>
    </row>
    <row r="24" spans="2:32" ht="14.25" customHeight="1">
      <c r="B24" s="438" t="s">
        <v>525</v>
      </c>
      <c r="C24" s="439"/>
      <c r="D24" s="439"/>
      <c r="E24" s="437"/>
      <c r="F24" s="437"/>
      <c r="G24" s="437" t="s">
        <v>34</v>
      </c>
      <c r="H24" s="437"/>
      <c r="I24" s="437"/>
      <c r="J24" s="437"/>
      <c r="K24" s="437"/>
      <c r="L24" s="437"/>
      <c r="M24" s="437"/>
      <c r="N24" s="437"/>
      <c r="O24" s="437"/>
      <c r="P24" s="437"/>
      <c r="Q24" s="229"/>
      <c r="R24" s="216"/>
      <c r="S24" s="437"/>
      <c r="T24" s="437"/>
      <c r="U24" s="437"/>
      <c r="V24" s="437"/>
      <c r="W24" s="437"/>
      <c r="X24" s="437"/>
      <c r="Y24" s="216"/>
      <c r="Z24" s="437" t="s">
        <v>34</v>
      </c>
      <c r="AA24" s="437"/>
      <c r="AB24" s="437"/>
      <c r="AC24" s="437"/>
      <c r="AD24" s="437"/>
      <c r="AE24" s="437"/>
      <c r="AF24" s="229"/>
    </row>
    <row r="25" spans="2:32" ht="14.25" customHeight="1">
      <c r="B25" s="438" t="s">
        <v>819</v>
      </c>
      <c r="C25" s="439"/>
      <c r="D25" s="439"/>
      <c r="E25" s="437"/>
      <c r="F25" s="437"/>
      <c r="G25" s="437" t="s">
        <v>34</v>
      </c>
      <c r="H25" s="437"/>
      <c r="I25" s="437"/>
      <c r="J25" s="437"/>
      <c r="K25" s="437"/>
      <c r="L25" s="437"/>
      <c r="M25" s="437"/>
      <c r="N25" s="437"/>
      <c r="O25" s="437"/>
      <c r="P25" s="437"/>
      <c r="Q25" s="229"/>
      <c r="R25" s="216"/>
      <c r="S25" s="437"/>
      <c r="T25" s="437"/>
      <c r="U25" s="437"/>
      <c r="V25" s="437"/>
      <c r="W25" s="437"/>
      <c r="X25" s="437"/>
      <c r="Y25" s="216"/>
      <c r="Z25" s="437" t="s">
        <v>34</v>
      </c>
      <c r="AA25" s="437"/>
      <c r="AB25" s="437"/>
      <c r="AC25" s="437"/>
      <c r="AD25" s="437"/>
      <c r="AE25" s="437"/>
      <c r="AF25" s="229"/>
    </row>
    <row r="26" spans="2:32" ht="14.25" customHeight="1">
      <c r="B26" s="438" t="s">
        <v>531</v>
      </c>
      <c r="C26" s="439"/>
      <c r="D26" s="439"/>
      <c r="E26" s="437"/>
      <c r="F26" s="437"/>
      <c r="G26" s="437" t="s">
        <v>34</v>
      </c>
      <c r="H26" s="437"/>
      <c r="I26" s="437"/>
      <c r="J26" s="437"/>
      <c r="K26" s="437"/>
      <c r="L26" s="437"/>
      <c r="M26" s="437"/>
      <c r="N26" s="437"/>
      <c r="O26" s="437"/>
      <c r="P26" s="437"/>
      <c r="Q26" s="229"/>
      <c r="R26" s="216"/>
      <c r="S26" s="437"/>
      <c r="T26" s="437"/>
      <c r="U26" s="437"/>
      <c r="V26" s="437"/>
      <c r="W26" s="437"/>
      <c r="X26" s="437"/>
      <c r="Y26" s="216"/>
      <c r="Z26" s="437" t="s">
        <v>34</v>
      </c>
      <c r="AA26" s="437"/>
      <c r="AB26" s="437"/>
      <c r="AC26" s="437"/>
      <c r="AD26" s="437"/>
      <c r="AE26" s="437"/>
      <c r="AF26" s="229"/>
    </row>
    <row r="27" spans="2:32" ht="14.25" customHeight="1">
      <c r="B27" s="438" t="s">
        <v>820</v>
      </c>
      <c r="C27" s="439"/>
      <c r="D27" s="439"/>
      <c r="E27" s="437"/>
      <c r="F27" s="437"/>
      <c r="G27" s="437" t="s">
        <v>34</v>
      </c>
      <c r="H27" s="437"/>
      <c r="I27" s="437"/>
      <c r="J27" s="437"/>
      <c r="K27" s="437"/>
      <c r="L27" s="437"/>
      <c r="M27" s="437"/>
      <c r="N27" s="437"/>
      <c r="O27" s="437"/>
      <c r="P27" s="437"/>
      <c r="Q27" s="229"/>
      <c r="R27" s="216"/>
      <c r="S27" s="437"/>
      <c r="T27" s="437"/>
      <c r="U27" s="437"/>
      <c r="V27" s="437"/>
      <c r="W27" s="437"/>
      <c r="X27" s="437"/>
      <c r="Y27" s="216"/>
      <c r="Z27" s="437" t="s">
        <v>34</v>
      </c>
      <c r="AA27" s="437"/>
      <c r="AB27" s="437"/>
      <c r="AC27" s="437"/>
      <c r="AD27" s="437"/>
      <c r="AE27" s="437"/>
      <c r="AF27" s="229"/>
    </row>
    <row r="28" spans="2:32" ht="14.25" customHeight="1">
      <c r="B28" s="438" t="s">
        <v>1164</v>
      </c>
      <c r="C28" s="439"/>
      <c r="D28" s="439"/>
      <c r="E28" s="437"/>
      <c r="F28" s="437"/>
      <c r="G28" s="437" t="s">
        <v>34</v>
      </c>
      <c r="H28" s="437"/>
      <c r="I28" s="437"/>
      <c r="J28" s="437"/>
      <c r="K28" s="437"/>
      <c r="L28" s="437"/>
      <c r="M28" s="437"/>
      <c r="N28" s="437"/>
      <c r="O28" s="437"/>
      <c r="P28" s="437"/>
      <c r="Q28" s="229"/>
      <c r="R28" s="216"/>
      <c r="S28" s="437"/>
      <c r="T28" s="437"/>
      <c r="U28" s="437"/>
      <c r="V28" s="437"/>
      <c r="W28" s="437"/>
      <c r="X28" s="437"/>
      <c r="Y28" s="216"/>
      <c r="Z28" s="437" t="s">
        <v>34</v>
      </c>
      <c r="AA28" s="437"/>
      <c r="AB28" s="437"/>
      <c r="AC28" s="437"/>
      <c r="AD28" s="437"/>
      <c r="AE28" s="437"/>
      <c r="AF28" s="229"/>
    </row>
    <row r="29" spans="2:32" ht="14.25" customHeight="1">
      <c r="B29" s="438" t="s">
        <v>527</v>
      </c>
      <c r="C29" s="439"/>
      <c r="D29" s="439"/>
      <c r="E29" s="437"/>
      <c r="F29" s="437"/>
      <c r="G29" s="437" t="s">
        <v>34</v>
      </c>
      <c r="H29" s="437"/>
      <c r="I29" s="437"/>
      <c r="J29" s="437"/>
      <c r="K29" s="437"/>
      <c r="L29" s="437"/>
      <c r="M29" s="437"/>
      <c r="N29" s="437"/>
      <c r="O29" s="437"/>
      <c r="P29" s="437"/>
      <c r="Q29" s="229"/>
      <c r="R29" s="216"/>
      <c r="S29" s="437"/>
      <c r="T29" s="437"/>
      <c r="U29" s="437"/>
      <c r="V29" s="437"/>
      <c r="W29" s="437"/>
      <c r="X29" s="437"/>
      <c r="Y29" s="216"/>
      <c r="Z29" s="437" t="s">
        <v>34</v>
      </c>
      <c r="AA29" s="437"/>
      <c r="AB29" s="437" t="s">
        <v>34</v>
      </c>
      <c r="AC29" s="437"/>
      <c r="AD29" s="437"/>
      <c r="AE29" s="437"/>
      <c r="AF29" s="229"/>
    </row>
    <row r="30" spans="2:32" ht="14.25" customHeight="1">
      <c r="B30" s="438" t="s">
        <v>1165</v>
      </c>
      <c r="C30" s="439"/>
      <c r="D30" s="439"/>
      <c r="E30" s="437"/>
      <c r="F30" s="437"/>
      <c r="G30" s="437" t="s">
        <v>34</v>
      </c>
      <c r="H30" s="437"/>
      <c r="I30" s="437"/>
      <c r="J30" s="437"/>
      <c r="K30" s="437"/>
      <c r="L30" s="437"/>
      <c r="M30" s="437"/>
      <c r="N30" s="437"/>
      <c r="O30" s="437"/>
      <c r="P30" s="437"/>
      <c r="Q30" s="229"/>
      <c r="R30" s="216"/>
      <c r="S30" s="437"/>
      <c r="T30" s="437"/>
      <c r="U30" s="437"/>
      <c r="V30" s="437"/>
      <c r="W30" s="437"/>
      <c r="X30" s="437"/>
      <c r="Y30" s="216"/>
      <c r="Z30" s="437" t="s">
        <v>34</v>
      </c>
      <c r="AA30" s="437"/>
      <c r="AB30" s="437"/>
      <c r="AC30" s="437"/>
      <c r="AD30" s="437"/>
      <c r="AE30" s="437"/>
      <c r="AF30" s="229"/>
    </row>
    <row r="31" spans="2:32" ht="14.25" customHeight="1">
      <c r="B31" s="438" t="s">
        <v>821</v>
      </c>
      <c r="C31" s="439"/>
      <c r="D31" s="439"/>
      <c r="E31" s="437"/>
      <c r="F31" s="437"/>
      <c r="G31" s="437" t="s">
        <v>34</v>
      </c>
      <c r="H31" s="437"/>
      <c r="I31" s="437"/>
      <c r="J31" s="437"/>
      <c r="K31" s="437"/>
      <c r="L31" s="437"/>
      <c r="M31" s="437"/>
      <c r="N31" s="437"/>
      <c r="O31" s="437"/>
      <c r="P31" s="437"/>
      <c r="Q31" s="229"/>
      <c r="R31" s="216"/>
      <c r="S31" s="437"/>
      <c r="T31" s="437"/>
      <c r="U31" s="437"/>
      <c r="V31" s="437"/>
      <c r="W31" s="437"/>
      <c r="X31" s="437"/>
      <c r="Y31" s="216"/>
      <c r="Z31" s="437" t="s">
        <v>34</v>
      </c>
      <c r="AA31" s="437"/>
      <c r="AB31" s="437"/>
      <c r="AC31" s="437"/>
      <c r="AD31" s="437"/>
      <c r="AE31" s="437"/>
      <c r="AF31" s="229"/>
    </row>
    <row r="32" spans="2:32" ht="14.25" customHeight="1">
      <c r="B32" s="438" t="s">
        <v>528</v>
      </c>
      <c r="C32" s="439"/>
      <c r="D32" s="439"/>
      <c r="E32" s="437"/>
      <c r="F32" s="437"/>
      <c r="G32" s="437" t="s">
        <v>34</v>
      </c>
      <c r="H32" s="437"/>
      <c r="I32" s="437"/>
      <c r="J32" s="437"/>
      <c r="K32" s="437"/>
      <c r="L32" s="437"/>
      <c r="M32" s="437"/>
      <c r="N32" s="437"/>
      <c r="O32" s="437"/>
      <c r="P32" s="437"/>
      <c r="Q32" s="229"/>
      <c r="R32" s="216"/>
      <c r="S32" s="437"/>
      <c r="T32" s="437"/>
      <c r="U32" s="437"/>
      <c r="V32" s="437"/>
      <c r="W32" s="437"/>
      <c r="X32" s="437"/>
      <c r="Y32" s="216"/>
      <c r="Z32" s="437" t="s">
        <v>34</v>
      </c>
      <c r="AA32" s="437"/>
      <c r="AB32" s="437"/>
      <c r="AC32" s="437"/>
      <c r="AD32" s="437"/>
      <c r="AE32" s="437"/>
      <c r="AF32" s="229"/>
    </row>
    <row r="33" spans="2:32" ht="14.25" customHeight="1">
      <c r="B33" s="438" t="s">
        <v>823</v>
      </c>
      <c r="C33" s="439"/>
      <c r="D33" s="439"/>
      <c r="E33" s="437"/>
      <c r="F33" s="437"/>
      <c r="G33" s="437" t="s">
        <v>34</v>
      </c>
      <c r="H33" s="437"/>
      <c r="I33" s="437"/>
      <c r="J33" s="437"/>
      <c r="K33" s="437"/>
      <c r="L33" s="437"/>
      <c r="M33" s="437"/>
      <c r="N33" s="437"/>
      <c r="O33" s="437"/>
      <c r="P33" s="437"/>
      <c r="Q33" s="229"/>
      <c r="R33" s="216"/>
      <c r="S33" s="437"/>
      <c r="T33" s="437"/>
      <c r="U33" s="437"/>
      <c r="V33" s="437"/>
      <c r="W33" s="437"/>
      <c r="X33" s="437"/>
      <c r="Y33" s="216"/>
      <c r="Z33" s="437" t="s">
        <v>34</v>
      </c>
      <c r="AA33" s="437"/>
      <c r="AB33" s="437"/>
      <c r="AC33" s="437"/>
      <c r="AD33" s="437"/>
      <c r="AE33" s="437"/>
      <c r="AF33" s="229"/>
    </row>
    <row r="34" spans="2:32" ht="14.25" customHeight="1">
      <c r="B34" s="438" t="s">
        <v>826</v>
      </c>
      <c r="C34" s="439"/>
      <c r="D34" s="439"/>
      <c r="E34" s="437"/>
      <c r="F34" s="437"/>
      <c r="G34" s="437" t="s">
        <v>34</v>
      </c>
      <c r="H34" s="437"/>
      <c r="I34" s="437"/>
      <c r="J34" s="437"/>
      <c r="K34" s="437"/>
      <c r="L34" s="437"/>
      <c r="M34" s="437"/>
      <c r="N34" s="437"/>
      <c r="O34" s="437"/>
      <c r="P34" s="437"/>
      <c r="Q34" s="229"/>
      <c r="R34" s="216"/>
      <c r="S34" s="437"/>
      <c r="T34" s="437"/>
      <c r="U34" s="437"/>
      <c r="V34" s="437"/>
      <c r="W34" s="437"/>
      <c r="X34" s="437"/>
      <c r="Y34" s="216"/>
      <c r="Z34" s="437" t="s">
        <v>34</v>
      </c>
      <c r="AA34" s="437"/>
      <c r="AB34" s="437"/>
      <c r="AC34" s="437"/>
      <c r="AD34" s="437"/>
      <c r="AE34" s="437"/>
      <c r="AF34" s="229"/>
    </row>
    <row r="35" spans="2:32" ht="14.25" customHeight="1">
      <c r="B35" s="438" t="s">
        <v>822</v>
      </c>
      <c r="C35" s="439"/>
      <c r="D35" s="439"/>
      <c r="E35" s="437"/>
      <c r="F35" s="437"/>
      <c r="G35" s="437" t="s">
        <v>34</v>
      </c>
      <c r="H35" s="437"/>
      <c r="I35" s="437"/>
      <c r="J35" s="437"/>
      <c r="K35" s="437"/>
      <c r="L35" s="437"/>
      <c r="M35" s="437"/>
      <c r="N35" s="437"/>
      <c r="O35" s="437"/>
      <c r="P35" s="437"/>
      <c r="Q35" s="229"/>
      <c r="R35" s="216"/>
      <c r="S35" s="437"/>
      <c r="T35" s="437"/>
      <c r="U35" s="437"/>
      <c r="V35" s="437"/>
      <c r="W35" s="437"/>
      <c r="X35" s="437"/>
      <c r="Y35" s="216"/>
      <c r="Z35" s="437" t="s">
        <v>34</v>
      </c>
      <c r="AA35" s="437"/>
      <c r="AB35" s="437" t="s">
        <v>34</v>
      </c>
      <c r="AC35" s="437"/>
      <c r="AD35" s="437"/>
      <c r="AE35" s="437"/>
      <c r="AF35" s="229"/>
    </row>
    <row r="36" spans="2:32" ht="14.25" customHeight="1">
      <c r="B36" s="438" t="s">
        <v>570</v>
      </c>
      <c r="C36" s="439"/>
      <c r="D36" s="439"/>
      <c r="E36" s="437"/>
      <c r="F36" s="437"/>
      <c r="G36" s="437" t="s">
        <v>34</v>
      </c>
      <c r="H36" s="437"/>
      <c r="I36" s="437"/>
      <c r="J36" s="437"/>
      <c r="K36" s="437"/>
      <c r="L36" s="437"/>
      <c r="M36" s="437"/>
      <c r="N36" s="437"/>
      <c r="O36" s="437"/>
      <c r="P36" s="437"/>
      <c r="Q36" s="229"/>
      <c r="R36" s="216"/>
      <c r="S36" s="437"/>
      <c r="T36" s="437"/>
      <c r="U36" s="437"/>
      <c r="V36" s="437"/>
      <c r="W36" s="437"/>
      <c r="X36" s="437"/>
      <c r="Y36" s="216"/>
      <c r="Z36" s="437" t="s">
        <v>34</v>
      </c>
      <c r="AA36" s="437"/>
      <c r="AB36" s="437"/>
      <c r="AC36" s="437"/>
      <c r="AD36" s="437"/>
      <c r="AE36" s="437"/>
      <c r="AF36" s="229"/>
    </row>
    <row r="37" spans="2:32" ht="14.25" customHeight="1">
      <c r="B37" s="438" t="s">
        <v>824</v>
      </c>
      <c r="C37" s="439"/>
      <c r="D37" s="439"/>
      <c r="E37" s="437"/>
      <c r="F37" s="437"/>
      <c r="G37" s="437" t="s">
        <v>34</v>
      </c>
      <c r="H37" s="437"/>
      <c r="I37" s="437"/>
      <c r="J37" s="437"/>
      <c r="K37" s="437"/>
      <c r="L37" s="437"/>
      <c r="M37" s="437"/>
      <c r="N37" s="437"/>
      <c r="O37" s="437"/>
      <c r="P37" s="437"/>
      <c r="Q37" s="229"/>
      <c r="R37" s="216"/>
      <c r="S37" s="437"/>
      <c r="T37" s="437"/>
      <c r="U37" s="437"/>
      <c r="V37" s="437"/>
      <c r="W37" s="437"/>
      <c r="X37" s="437"/>
      <c r="Y37" s="216"/>
      <c r="Z37" s="437" t="s">
        <v>34</v>
      </c>
      <c r="AA37" s="437"/>
      <c r="AB37" s="437"/>
      <c r="AC37" s="437"/>
      <c r="AD37" s="437"/>
      <c r="AE37" s="437"/>
      <c r="AF37" s="229"/>
    </row>
    <row r="38" spans="2:32" ht="14.25" customHeight="1">
      <c r="B38" s="438" t="s">
        <v>825</v>
      </c>
      <c r="C38" s="439"/>
      <c r="D38" s="439"/>
      <c r="E38" s="437"/>
      <c r="F38" s="437"/>
      <c r="G38" s="437" t="s">
        <v>34</v>
      </c>
      <c r="H38" s="437"/>
      <c r="I38" s="437"/>
      <c r="J38" s="437"/>
      <c r="K38" s="437"/>
      <c r="L38" s="437"/>
      <c r="M38" s="437"/>
      <c r="N38" s="437"/>
      <c r="O38" s="437"/>
      <c r="P38" s="437"/>
      <c r="Q38" s="229"/>
      <c r="R38" s="216"/>
      <c r="S38" s="437"/>
      <c r="T38" s="437"/>
      <c r="U38" s="437"/>
      <c r="V38" s="437"/>
      <c r="W38" s="437"/>
      <c r="X38" s="437"/>
      <c r="Y38" s="216"/>
      <c r="Z38" s="437" t="s">
        <v>34</v>
      </c>
      <c r="AA38" s="437"/>
      <c r="AB38" s="437"/>
      <c r="AC38" s="437"/>
      <c r="AD38" s="437"/>
      <c r="AE38" s="437"/>
      <c r="AF38" s="229"/>
    </row>
    <row r="39" spans="2:32" ht="14.25" customHeight="1">
      <c r="B39" s="438" t="s">
        <v>529</v>
      </c>
      <c r="C39" s="439"/>
      <c r="D39" s="439"/>
      <c r="E39" s="437"/>
      <c r="F39" s="437"/>
      <c r="G39" s="437" t="s">
        <v>34</v>
      </c>
      <c r="H39" s="437"/>
      <c r="I39" s="437"/>
      <c r="J39" s="437"/>
      <c r="K39" s="437"/>
      <c r="L39" s="437"/>
      <c r="M39" s="437"/>
      <c r="N39" s="437"/>
      <c r="O39" s="437"/>
      <c r="P39" s="437"/>
      <c r="Q39" s="229"/>
      <c r="R39" s="216"/>
      <c r="S39" s="437"/>
      <c r="T39" s="437"/>
      <c r="U39" s="437"/>
      <c r="V39" s="437"/>
      <c r="W39" s="437"/>
      <c r="X39" s="437"/>
      <c r="Y39" s="216"/>
      <c r="Z39" s="437" t="s">
        <v>34</v>
      </c>
      <c r="AA39" s="437"/>
      <c r="AB39" s="437" t="s">
        <v>34</v>
      </c>
      <c r="AC39" s="437"/>
      <c r="AD39" s="437" t="s">
        <v>34</v>
      </c>
      <c r="AE39" s="437"/>
      <c r="AF39" s="229"/>
    </row>
    <row r="40" spans="2:32" ht="14.25" customHeight="1">
      <c r="B40" s="438" t="s">
        <v>530</v>
      </c>
      <c r="C40" s="439"/>
      <c r="D40" s="439"/>
      <c r="E40" s="437"/>
      <c r="F40" s="437"/>
      <c r="G40" s="437" t="s">
        <v>34</v>
      </c>
      <c r="H40" s="437"/>
      <c r="I40" s="437"/>
      <c r="J40" s="437"/>
      <c r="K40" s="437"/>
      <c r="L40" s="437"/>
      <c r="M40" s="437"/>
      <c r="N40" s="437"/>
      <c r="O40" s="437"/>
      <c r="P40" s="437"/>
      <c r="Q40" s="229"/>
      <c r="R40" s="216"/>
      <c r="S40" s="437"/>
      <c r="T40" s="437"/>
      <c r="U40" s="437"/>
      <c r="V40" s="437"/>
      <c r="W40" s="437"/>
      <c r="X40" s="437"/>
      <c r="Y40" s="216"/>
      <c r="Z40" s="437" t="s">
        <v>34</v>
      </c>
      <c r="AA40" s="437"/>
      <c r="AB40" s="437" t="s">
        <v>34</v>
      </c>
      <c r="AC40" s="437"/>
      <c r="AD40" s="437"/>
      <c r="AE40" s="437"/>
      <c r="AF40" s="229"/>
    </row>
    <row r="41" spans="2:32" ht="14.25" customHeight="1">
      <c r="B41" s="438" t="s">
        <v>35</v>
      </c>
      <c r="C41" s="439"/>
      <c r="D41" s="439"/>
      <c r="E41" s="437"/>
      <c r="F41" s="437"/>
      <c r="G41" s="437"/>
      <c r="H41" s="437"/>
      <c r="I41" s="437" t="s">
        <v>34</v>
      </c>
      <c r="J41" s="437"/>
      <c r="K41" s="437"/>
      <c r="L41" s="437"/>
      <c r="M41" s="437" t="s">
        <v>34</v>
      </c>
      <c r="N41" s="437"/>
      <c r="O41" s="437"/>
      <c r="P41" s="437"/>
      <c r="Q41" s="229"/>
      <c r="R41" s="216"/>
      <c r="S41" s="437" t="s">
        <v>34</v>
      </c>
      <c r="T41" s="437"/>
      <c r="U41" s="437" t="s">
        <v>34</v>
      </c>
      <c r="V41" s="437"/>
      <c r="W41" s="437" t="s">
        <v>34</v>
      </c>
      <c r="X41" s="437"/>
      <c r="Y41" s="216"/>
      <c r="Z41" s="437" t="s">
        <v>34</v>
      </c>
      <c r="AA41" s="437"/>
      <c r="AB41" s="437" t="s">
        <v>34</v>
      </c>
      <c r="AC41" s="437"/>
      <c r="AD41" s="437" t="s">
        <v>34</v>
      </c>
      <c r="AE41" s="437"/>
      <c r="AF41" s="229"/>
    </row>
    <row r="42" spans="2:32" ht="14.25" customHeight="1">
      <c r="B42" s="438" t="s">
        <v>818</v>
      </c>
      <c r="C42" s="439"/>
      <c r="D42" s="439"/>
      <c r="E42" s="437"/>
      <c r="F42" s="437"/>
      <c r="G42" s="437"/>
      <c r="H42" s="437"/>
      <c r="I42" s="437" t="s">
        <v>34</v>
      </c>
      <c r="J42" s="437"/>
      <c r="K42" s="437"/>
      <c r="L42" s="437"/>
      <c r="M42" s="437"/>
      <c r="N42" s="437"/>
      <c r="O42" s="437"/>
      <c r="P42" s="437"/>
      <c r="Q42" s="229"/>
      <c r="R42" s="216"/>
      <c r="S42" s="437"/>
      <c r="T42" s="437"/>
      <c r="U42" s="437"/>
      <c r="V42" s="437"/>
      <c r="W42" s="437"/>
      <c r="X42" s="437"/>
      <c r="Y42" s="216"/>
      <c r="Z42" s="437" t="s">
        <v>34</v>
      </c>
      <c r="AA42" s="437"/>
      <c r="AB42" s="437"/>
      <c r="AC42" s="437"/>
      <c r="AD42" s="437"/>
      <c r="AE42" s="437"/>
      <c r="AF42" s="229"/>
    </row>
    <row r="43" spans="2:32" ht="14.25" customHeight="1">
      <c r="B43" s="438" t="s">
        <v>36</v>
      </c>
      <c r="C43" s="439"/>
      <c r="D43" s="439"/>
      <c r="E43" s="437"/>
      <c r="F43" s="437"/>
      <c r="G43" s="437"/>
      <c r="H43" s="437"/>
      <c r="I43" s="437" t="s">
        <v>34</v>
      </c>
      <c r="J43" s="437"/>
      <c r="K43" s="437"/>
      <c r="L43" s="437"/>
      <c r="M43" s="437"/>
      <c r="N43" s="437"/>
      <c r="O43" s="437"/>
      <c r="P43" s="437"/>
      <c r="Q43" s="229"/>
      <c r="R43" s="216"/>
      <c r="S43" s="437"/>
      <c r="T43" s="437"/>
      <c r="U43" s="437"/>
      <c r="V43" s="437"/>
      <c r="W43" s="437"/>
      <c r="X43" s="437"/>
      <c r="Y43" s="216"/>
      <c r="Z43" s="437" t="s">
        <v>34</v>
      </c>
      <c r="AA43" s="437"/>
      <c r="AB43" s="437"/>
      <c r="AC43" s="437"/>
      <c r="AD43" s="437"/>
      <c r="AE43" s="437"/>
      <c r="AF43" s="229"/>
    </row>
    <row r="44" spans="2:32" ht="14.25" customHeight="1">
      <c r="B44" s="438" t="s">
        <v>37</v>
      </c>
      <c r="C44" s="439"/>
      <c r="D44" s="439"/>
      <c r="E44" s="437"/>
      <c r="F44" s="437"/>
      <c r="G44" s="437"/>
      <c r="H44" s="437"/>
      <c r="I44" s="437" t="s">
        <v>34</v>
      </c>
      <c r="J44" s="437"/>
      <c r="K44" s="437"/>
      <c r="L44" s="437"/>
      <c r="M44" s="437" t="s">
        <v>34</v>
      </c>
      <c r="N44" s="437"/>
      <c r="O44" s="437"/>
      <c r="P44" s="437"/>
      <c r="Q44" s="229"/>
      <c r="R44" s="216"/>
      <c r="S44" s="437"/>
      <c r="T44" s="437"/>
      <c r="U44" s="437" t="s">
        <v>34</v>
      </c>
      <c r="V44" s="437"/>
      <c r="W44" s="437"/>
      <c r="X44" s="437"/>
      <c r="Y44" s="216"/>
      <c r="Z44" s="437"/>
      <c r="AA44" s="437"/>
      <c r="AB44" s="437"/>
      <c r="AC44" s="437"/>
      <c r="AD44" s="437"/>
      <c r="AE44" s="437"/>
      <c r="AF44" s="229"/>
    </row>
    <row r="45" spans="2:32" ht="14.25" customHeight="1">
      <c r="B45" s="438" t="s">
        <v>38</v>
      </c>
      <c r="C45" s="439"/>
      <c r="D45" s="439"/>
      <c r="E45" s="437"/>
      <c r="F45" s="437"/>
      <c r="G45" s="437"/>
      <c r="H45" s="437"/>
      <c r="I45" s="437" t="s">
        <v>34</v>
      </c>
      <c r="J45" s="437"/>
      <c r="K45" s="437"/>
      <c r="L45" s="437"/>
      <c r="M45" s="437"/>
      <c r="N45" s="437"/>
      <c r="O45" s="437"/>
      <c r="P45" s="437"/>
      <c r="Q45" s="229"/>
      <c r="R45" s="216"/>
      <c r="S45" s="437"/>
      <c r="T45" s="437"/>
      <c r="U45" s="437"/>
      <c r="V45" s="437"/>
      <c r="W45" s="437"/>
      <c r="X45" s="437"/>
      <c r="Y45" s="216"/>
      <c r="Z45" s="437" t="s">
        <v>34</v>
      </c>
      <c r="AA45" s="437"/>
      <c r="AB45" s="437"/>
      <c r="AC45" s="437"/>
      <c r="AD45" s="437"/>
      <c r="AE45" s="437"/>
      <c r="AF45" s="229"/>
    </row>
    <row r="46" spans="2:32" ht="14.25" customHeight="1">
      <c r="B46" s="438" t="s">
        <v>539</v>
      </c>
      <c r="C46" s="439"/>
      <c r="D46" s="439"/>
      <c r="E46" s="445"/>
      <c r="F46" s="445"/>
      <c r="G46" s="437"/>
      <c r="H46" s="437"/>
      <c r="I46" s="437" t="s">
        <v>34</v>
      </c>
      <c r="J46" s="437"/>
      <c r="K46" s="437"/>
      <c r="L46" s="437"/>
      <c r="M46" s="437" t="s">
        <v>34</v>
      </c>
      <c r="N46" s="437"/>
      <c r="O46" s="437"/>
      <c r="P46" s="437"/>
      <c r="Q46" s="229"/>
      <c r="R46" s="216"/>
      <c r="S46" s="437" t="s">
        <v>34</v>
      </c>
      <c r="T46" s="437"/>
      <c r="U46" s="437"/>
      <c r="V46" s="437"/>
      <c r="W46" s="437"/>
      <c r="X46" s="437"/>
      <c r="Y46" s="216"/>
      <c r="Z46" s="437"/>
      <c r="AA46" s="437"/>
      <c r="AB46" s="437"/>
      <c r="AC46" s="437"/>
      <c r="AD46" s="437"/>
      <c r="AE46" s="437"/>
      <c r="AF46" s="216"/>
    </row>
    <row r="47" spans="2:32" ht="14.25" customHeight="1">
      <c r="B47" s="438" t="s">
        <v>39</v>
      </c>
      <c r="C47" s="439"/>
      <c r="D47" s="439"/>
      <c r="E47" s="437"/>
      <c r="F47" s="437"/>
      <c r="G47" s="437"/>
      <c r="H47" s="437"/>
      <c r="I47" s="437" t="s">
        <v>34</v>
      </c>
      <c r="J47" s="437"/>
      <c r="K47" s="437"/>
      <c r="L47" s="437"/>
      <c r="M47" s="437"/>
      <c r="N47" s="437"/>
      <c r="O47" s="437"/>
      <c r="P47" s="437"/>
      <c r="Q47" s="229"/>
      <c r="R47" s="216"/>
      <c r="S47" s="437"/>
      <c r="T47" s="437"/>
      <c r="U47" s="437"/>
      <c r="V47" s="437"/>
      <c r="W47" s="437"/>
      <c r="X47" s="437"/>
      <c r="Y47" s="216"/>
      <c r="Z47" s="437" t="s">
        <v>34</v>
      </c>
      <c r="AA47" s="437"/>
      <c r="AB47" s="437"/>
      <c r="AC47" s="437"/>
      <c r="AD47" s="437"/>
      <c r="AE47" s="437"/>
      <c r="AF47" s="229"/>
    </row>
    <row r="48" spans="2:32" ht="14.25" customHeight="1">
      <c r="B48" s="438" t="s">
        <v>40</v>
      </c>
      <c r="C48" s="439"/>
      <c r="D48" s="439"/>
      <c r="E48" s="437"/>
      <c r="F48" s="437"/>
      <c r="G48" s="437"/>
      <c r="H48" s="437"/>
      <c r="I48" s="437" t="s">
        <v>34</v>
      </c>
      <c r="J48" s="437"/>
      <c r="K48" s="437"/>
      <c r="L48" s="437"/>
      <c r="M48" s="437"/>
      <c r="N48" s="437"/>
      <c r="O48" s="437"/>
      <c r="P48" s="437"/>
      <c r="Q48" s="229"/>
      <c r="R48" s="216"/>
      <c r="S48" s="437"/>
      <c r="T48" s="437"/>
      <c r="U48" s="437"/>
      <c r="V48" s="437"/>
      <c r="W48" s="437"/>
      <c r="X48" s="437"/>
      <c r="Y48" s="216"/>
      <c r="Z48" s="437" t="s">
        <v>34</v>
      </c>
      <c r="AA48" s="437"/>
      <c r="AB48" s="437"/>
      <c r="AC48" s="437"/>
      <c r="AD48" s="437"/>
      <c r="AE48" s="437"/>
      <c r="AF48" s="229"/>
    </row>
    <row r="49" spans="2:32" ht="14.25" customHeight="1">
      <c r="B49" s="438" t="s">
        <v>41</v>
      </c>
      <c r="C49" s="439"/>
      <c r="D49" s="439"/>
      <c r="E49" s="437"/>
      <c r="F49" s="437"/>
      <c r="G49" s="437"/>
      <c r="H49" s="437"/>
      <c r="I49" s="437" t="s">
        <v>34</v>
      </c>
      <c r="J49" s="437"/>
      <c r="K49" s="437"/>
      <c r="L49" s="437"/>
      <c r="M49" s="437"/>
      <c r="N49" s="437"/>
      <c r="O49" s="437"/>
      <c r="P49" s="437"/>
      <c r="Q49" s="229"/>
      <c r="R49" s="216"/>
      <c r="S49" s="437"/>
      <c r="T49" s="437"/>
      <c r="U49" s="437"/>
      <c r="V49" s="437"/>
      <c r="W49" s="437"/>
      <c r="X49" s="437"/>
      <c r="Y49" s="216"/>
      <c r="Z49" s="437" t="s">
        <v>34</v>
      </c>
      <c r="AA49" s="437"/>
      <c r="AB49" s="437"/>
      <c r="AC49" s="437"/>
      <c r="AD49" s="437"/>
      <c r="AE49" s="437"/>
      <c r="AF49" s="229"/>
    </row>
    <row r="50" spans="2:32" ht="14.25" customHeight="1">
      <c r="B50" s="438" t="s">
        <v>42</v>
      </c>
      <c r="C50" s="439"/>
      <c r="D50" s="439"/>
      <c r="E50" s="437"/>
      <c r="F50" s="437"/>
      <c r="G50" s="437"/>
      <c r="H50" s="437"/>
      <c r="I50" s="437" t="s">
        <v>34</v>
      </c>
      <c r="J50" s="437"/>
      <c r="K50" s="437"/>
      <c r="L50" s="437"/>
      <c r="M50" s="437" t="s">
        <v>34</v>
      </c>
      <c r="N50" s="437"/>
      <c r="O50" s="437"/>
      <c r="P50" s="437"/>
      <c r="Q50" s="229"/>
      <c r="R50" s="216"/>
      <c r="S50" s="437"/>
      <c r="T50" s="437"/>
      <c r="U50" s="437" t="s">
        <v>34</v>
      </c>
      <c r="V50" s="437"/>
      <c r="W50" s="437"/>
      <c r="X50" s="437"/>
      <c r="Y50" s="216"/>
      <c r="Z50" s="437"/>
      <c r="AA50" s="437"/>
      <c r="AB50" s="437"/>
      <c r="AC50" s="437"/>
      <c r="AD50" s="437"/>
      <c r="AE50" s="437"/>
      <c r="AF50" s="229"/>
    </row>
    <row r="51" spans="2:32" ht="14.25" customHeight="1">
      <c r="B51" s="438" t="s">
        <v>43</v>
      </c>
      <c r="C51" s="439"/>
      <c r="D51" s="439"/>
      <c r="E51" s="437"/>
      <c r="F51" s="437"/>
      <c r="G51" s="437"/>
      <c r="H51" s="437"/>
      <c r="I51" s="437" t="s">
        <v>34</v>
      </c>
      <c r="J51" s="437"/>
      <c r="K51" s="437"/>
      <c r="L51" s="437"/>
      <c r="M51" s="437"/>
      <c r="N51" s="437"/>
      <c r="O51" s="437"/>
      <c r="P51" s="437"/>
      <c r="Q51" s="229"/>
      <c r="R51" s="216"/>
      <c r="S51" s="437"/>
      <c r="T51" s="437"/>
      <c r="U51" s="437"/>
      <c r="V51" s="437"/>
      <c r="W51" s="437"/>
      <c r="X51" s="437"/>
      <c r="Y51" s="216"/>
      <c r="Z51" s="437" t="s">
        <v>34</v>
      </c>
      <c r="AA51" s="437"/>
      <c r="AB51" s="437"/>
      <c r="AC51" s="437"/>
      <c r="AD51" s="437"/>
      <c r="AE51" s="437"/>
      <c r="AF51" s="229"/>
    </row>
    <row r="52" spans="2:32" ht="14.25" customHeight="1">
      <c r="B52" s="438" t="s">
        <v>44</v>
      </c>
      <c r="C52" s="439"/>
      <c r="D52" s="439"/>
      <c r="E52" s="437"/>
      <c r="F52" s="437"/>
      <c r="G52" s="437"/>
      <c r="H52" s="437"/>
      <c r="I52" s="437" t="s">
        <v>34</v>
      </c>
      <c r="J52" s="437"/>
      <c r="K52" s="437"/>
      <c r="L52" s="437"/>
      <c r="M52" s="437"/>
      <c r="N52" s="437"/>
      <c r="O52" s="437"/>
      <c r="P52" s="437"/>
      <c r="Q52" s="229"/>
      <c r="R52" s="216"/>
      <c r="S52" s="437"/>
      <c r="T52" s="437"/>
      <c r="U52" s="437"/>
      <c r="V52" s="437"/>
      <c r="W52" s="437"/>
      <c r="X52" s="437"/>
      <c r="Y52" s="216"/>
      <c r="Z52" s="437" t="s">
        <v>34</v>
      </c>
      <c r="AA52" s="437"/>
      <c r="AB52" s="437" t="s">
        <v>34</v>
      </c>
      <c r="AC52" s="437"/>
      <c r="AD52" s="437"/>
      <c r="AE52" s="437"/>
      <c r="AF52" s="229"/>
    </row>
    <row r="53" spans="2:32" ht="14.25" customHeight="1">
      <c r="B53" s="438" t="s">
        <v>45</v>
      </c>
      <c r="C53" s="439"/>
      <c r="D53" s="439"/>
      <c r="E53" s="437"/>
      <c r="F53" s="437"/>
      <c r="G53" s="437"/>
      <c r="H53" s="437"/>
      <c r="I53" s="437" t="s">
        <v>34</v>
      </c>
      <c r="J53" s="437"/>
      <c r="K53" s="437"/>
      <c r="L53" s="437"/>
      <c r="M53" s="437"/>
      <c r="N53" s="437"/>
      <c r="O53" s="437"/>
      <c r="P53" s="437"/>
      <c r="Q53" s="229"/>
      <c r="R53" s="216"/>
      <c r="S53" s="437"/>
      <c r="T53" s="437"/>
      <c r="U53" s="437"/>
      <c r="V53" s="437"/>
      <c r="W53" s="437"/>
      <c r="X53" s="437"/>
      <c r="Y53" s="216"/>
      <c r="Z53" s="437" t="s">
        <v>34</v>
      </c>
      <c r="AA53" s="437"/>
      <c r="AB53" s="437"/>
      <c r="AC53" s="437"/>
      <c r="AD53" s="437"/>
      <c r="AE53" s="437"/>
      <c r="AF53" s="229"/>
    </row>
    <row r="54" spans="2:32" ht="14.25" customHeight="1">
      <c r="B54" s="438" t="s">
        <v>647</v>
      </c>
      <c r="C54" s="439"/>
      <c r="D54" s="439"/>
      <c r="E54" s="437"/>
      <c r="F54" s="437"/>
      <c r="G54" s="437"/>
      <c r="H54" s="437"/>
      <c r="I54" s="437" t="s">
        <v>34</v>
      </c>
      <c r="J54" s="437"/>
      <c r="K54" s="437"/>
      <c r="L54" s="437"/>
      <c r="M54" s="437"/>
      <c r="N54" s="437"/>
      <c r="O54" s="437"/>
      <c r="P54" s="437"/>
      <c r="Q54" s="229"/>
      <c r="R54" s="216"/>
      <c r="S54" s="437"/>
      <c r="T54" s="437"/>
      <c r="U54" s="437"/>
      <c r="V54" s="437"/>
      <c r="W54" s="437"/>
      <c r="X54" s="437"/>
      <c r="Y54" s="216"/>
      <c r="Z54" s="437" t="s">
        <v>34</v>
      </c>
      <c r="AA54" s="437"/>
      <c r="AB54" s="437"/>
      <c r="AC54" s="437"/>
      <c r="AD54" s="437"/>
      <c r="AE54" s="437"/>
      <c r="AF54" s="229"/>
    </row>
    <row r="55" spans="2:32" ht="14.25" customHeight="1">
      <c r="B55" s="438" t="s">
        <v>46</v>
      </c>
      <c r="C55" s="439"/>
      <c r="D55" s="439"/>
      <c r="E55" s="437"/>
      <c r="F55" s="437"/>
      <c r="G55" s="437"/>
      <c r="H55" s="437"/>
      <c r="I55" s="437" t="s">
        <v>34</v>
      </c>
      <c r="J55" s="437"/>
      <c r="K55" s="437"/>
      <c r="L55" s="437"/>
      <c r="M55" s="437"/>
      <c r="N55" s="437"/>
      <c r="O55" s="437"/>
      <c r="P55" s="437"/>
      <c r="Q55" s="229"/>
      <c r="R55" s="216"/>
      <c r="S55" s="437"/>
      <c r="T55" s="437"/>
      <c r="U55" s="437"/>
      <c r="V55" s="437"/>
      <c r="W55" s="437"/>
      <c r="X55" s="437"/>
      <c r="Y55" s="216"/>
      <c r="Z55" s="437" t="s">
        <v>34</v>
      </c>
      <c r="AA55" s="437"/>
      <c r="AB55" s="437"/>
      <c r="AC55" s="437"/>
      <c r="AD55" s="437"/>
      <c r="AE55" s="437"/>
      <c r="AF55" s="229"/>
    </row>
    <row r="56" spans="2:32" ht="14.25" customHeight="1">
      <c r="B56" s="438" t="s">
        <v>47</v>
      </c>
      <c r="C56" s="439"/>
      <c r="D56" s="439"/>
      <c r="E56" s="437"/>
      <c r="F56" s="437"/>
      <c r="G56" s="437"/>
      <c r="H56" s="437"/>
      <c r="I56" s="437" t="s">
        <v>34</v>
      </c>
      <c r="J56" s="437"/>
      <c r="K56" s="437"/>
      <c r="L56" s="437"/>
      <c r="M56" s="437"/>
      <c r="N56" s="437"/>
      <c r="O56" s="437"/>
      <c r="P56" s="437"/>
      <c r="Q56" s="229"/>
      <c r="R56" s="216"/>
      <c r="S56" s="437"/>
      <c r="T56" s="437"/>
      <c r="U56" s="437"/>
      <c r="V56" s="437"/>
      <c r="W56" s="437"/>
      <c r="X56" s="437"/>
      <c r="Y56" s="216"/>
      <c r="Z56" s="437" t="s">
        <v>34</v>
      </c>
      <c r="AA56" s="437"/>
      <c r="AB56" s="437"/>
      <c r="AC56" s="437"/>
      <c r="AD56" s="437"/>
      <c r="AE56" s="437"/>
      <c r="AF56" s="229"/>
    </row>
    <row r="57" spans="2:32" ht="14.25" customHeight="1">
      <c r="B57" s="438" t="s">
        <v>48</v>
      </c>
      <c r="C57" s="439"/>
      <c r="D57" s="439"/>
      <c r="E57" s="437"/>
      <c r="F57" s="437"/>
      <c r="G57" s="437"/>
      <c r="H57" s="437"/>
      <c r="I57" s="437" t="s">
        <v>34</v>
      </c>
      <c r="J57" s="437"/>
      <c r="K57" s="437"/>
      <c r="L57" s="437"/>
      <c r="M57" s="437"/>
      <c r="N57" s="437"/>
      <c r="O57" s="437"/>
      <c r="P57" s="437"/>
      <c r="Q57" s="229"/>
      <c r="R57" s="216"/>
      <c r="S57" s="437"/>
      <c r="T57" s="437"/>
      <c r="U57" s="437"/>
      <c r="V57" s="437"/>
      <c r="W57" s="437"/>
      <c r="X57" s="437"/>
      <c r="Y57" s="216"/>
      <c r="Z57" s="437" t="s">
        <v>34</v>
      </c>
      <c r="AA57" s="437"/>
      <c r="AB57" s="437"/>
      <c r="AC57" s="437"/>
      <c r="AD57" s="437"/>
      <c r="AE57" s="437"/>
      <c r="AF57" s="229"/>
    </row>
    <row r="58" spans="2:32" ht="14.25" customHeight="1">
      <c r="B58" s="438" t="s">
        <v>49</v>
      </c>
      <c r="C58" s="439"/>
      <c r="D58" s="439"/>
      <c r="E58" s="437"/>
      <c r="F58" s="437"/>
      <c r="G58" s="437"/>
      <c r="H58" s="437"/>
      <c r="I58" s="437" t="s">
        <v>34</v>
      </c>
      <c r="J58" s="437"/>
      <c r="K58" s="437"/>
      <c r="L58" s="437"/>
      <c r="M58" s="437"/>
      <c r="N58" s="437"/>
      <c r="O58" s="437"/>
      <c r="P58" s="437"/>
      <c r="Q58" s="229"/>
      <c r="R58" s="216"/>
      <c r="S58" s="437"/>
      <c r="T58" s="437"/>
      <c r="U58" s="437"/>
      <c r="V58" s="437"/>
      <c r="W58" s="437"/>
      <c r="X58" s="437"/>
      <c r="Y58" s="216"/>
      <c r="Z58" s="437" t="s">
        <v>34</v>
      </c>
      <c r="AA58" s="437"/>
      <c r="AB58" s="437" t="s">
        <v>34</v>
      </c>
      <c r="AC58" s="437"/>
      <c r="AD58" s="437"/>
      <c r="AE58" s="437"/>
      <c r="AF58" s="229"/>
    </row>
    <row r="59" spans="2:32" ht="14.25" customHeight="1">
      <c r="B59" s="438" t="s">
        <v>50</v>
      </c>
      <c r="C59" s="439"/>
      <c r="D59" s="439"/>
      <c r="E59" s="437"/>
      <c r="F59" s="437"/>
      <c r="G59" s="437"/>
      <c r="H59" s="437"/>
      <c r="I59" s="437" t="s">
        <v>34</v>
      </c>
      <c r="J59" s="437"/>
      <c r="K59" s="437"/>
      <c r="L59" s="437"/>
      <c r="M59" s="437"/>
      <c r="N59" s="437"/>
      <c r="O59" s="437"/>
      <c r="P59" s="437"/>
      <c r="Q59" s="229"/>
      <c r="R59" s="216"/>
      <c r="S59" s="437"/>
      <c r="T59" s="437"/>
      <c r="U59" s="437"/>
      <c r="V59" s="437"/>
      <c r="W59" s="437"/>
      <c r="X59" s="437"/>
      <c r="Y59" s="216"/>
      <c r="Z59" s="437" t="s">
        <v>34</v>
      </c>
      <c r="AA59" s="437"/>
      <c r="AB59" s="437"/>
      <c r="AC59" s="437"/>
      <c r="AD59" s="437"/>
      <c r="AE59" s="437"/>
      <c r="AF59" s="229"/>
    </row>
    <row r="60" spans="2:32" ht="14.25" customHeight="1">
      <c r="B60" s="438" t="s">
        <v>670</v>
      </c>
      <c r="C60" s="439"/>
      <c r="D60" s="439"/>
      <c r="E60" s="437"/>
      <c r="F60" s="437"/>
      <c r="G60" s="437"/>
      <c r="H60" s="437"/>
      <c r="I60" s="437"/>
      <c r="J60" s="437"/>
      <c r="K60" s="437" t="s">
        <v>34</v>
      </c>
      <c r="L60" s="437"/>
      <c r="M60" s="437" t="s">
        <v>34</v>
      </c>
      <c r="N60" s="437"/>
      <c r="O60" s="437"/>
      <c r="P60" s="437"/>
      <c r="Q60" s="229"/>
      <c r="R60" s="216"/>
      <c r="S60" s="437" t="s">
        <v>34</v>
      </c>
      <c r="T60" s="437"/>
      <c r="U60" s="437"/>
      <c r="V60" s="437"/>
      <c r="W60" s="437"/>
      <c r="X60" s="437"/>
      <c r="Y60" s="216"/>
      <c r="Z60" s="437"/>
      <c r="AA60" s="437"/>
      <c r="AB60" s="437"/>
      <c r="AC60" s="437"/>
      <c r="AD60" s="437"/>
      <c r="AE60" s="437"/>
      <c r="AF60" s="229"/>
    </row>
    <row r="61" spans="2:32" ht="14.25" customHeight="1">
      <c r="B61" s="438" t="s">
        <v>671</v>
      </c>
      <c r="C61" s="439"/>
      <c r="D61" s="439"/>
      <c r="E61" s="437"/>
      <c r="F61" s="437"/>
      <c r="G61" s="437"/>
      <c r="H61" s="437"/>
      <c r="I61" s="437" t="s">
        <v>34</v>
      </c>
      <c r="J61" s="437"/>
      <c r="K61" s="437"/>
      <c r="L61" s="437"/>
      <c r="M61" s="437"/>
      <c r="N61" s="437"/>
      <c r="O61" s="437"/>
      <c r="P61" s="437"/>
      <c r="Q61" s="229"/>
      <c r="R61" s="216"/>
      <c r="S61" s="437"/>
      <c r="T61" s="437"/>
      <c r="U61" s="437"/>
      <c r="V61" s="437"/>
      <c r="W61" s="437"/>
      <c r="X61" s="437"/>
      <c r="Y61" s="216"/>
      <c r="Z61" s="437" t="s">
        <v>34</v>
      </c>
      <c r="AA61" s="437"/>
      <c r="AB61" s="437"/>
      <c r="AC61" s="437"/>
      <c r="AD61" s="437"/>
      <c r="AE61" s="437"/>
      <c r="AF61" s="229"/>
    </row>
    <row r="62" spans="2:32" ht="14.25" customHeight="1">
      <c r="B62" s="453" t="s">
        <v>51</v>
      </c>
      <c r="C62" s="454"/>
      <c r="D62" s="454"/>
      <c r="E62" s="440"/>
      <c r="F62" s="440"/>
      <c r="G62" s="440"/>
      <c r="H62" s="440"/>
      <c r="I62" s="440" t="s">
        <v>34</v>
      </c>
      <c r="J62" s="440"/>
      <c r="K62" s="440"/>
      <c r="L62" s="440"/>
      <c r="M62" s="440"/>
      <c r="N62" s="440"/>
      <c r="O62" s="440"/>
      <c r="P62" s="440"/>
      <c r="Q62" s="215"/>
      <c r="R62" s="271"/>
      <c r="S62" s="440"/>
      <c r="T62" s="440"/>
      <c r="U62" s="440"/>
      <c r="V62" s="440"/>
      <c r="W62" s="440"/>
      <c r="X62" s="440"/>
      <c r="Y62" s="271"/>
      <c r="Z62" s="440" t="s">
        <v>34</v>
      </c>
      <c r="AA62" s="440"/>
      <c r="AB62" s="440" t="s">
        <v>34</v>
      </c>
      <c r="AC62" s="440"/>
      <c r="AD62" s="440"/>
      <c r="AE62" s="440"/>
      <c r="AF62" s="215"/>
    </row>
    <row r="63" spans="2:32" ht="4.5" customHeight="1">
      <c r="B63" s="203"/>
      <c r="C63" s="204"/>
      <c r="D63" s="204"/>
      <c r="E63" s="206"/>
      <c r="F63" s="206"/>
      <c r="G63" s="206"/>
      <c r="H63" s="206"/>
      <c r="I63" s="206"/>
      <c r="J63" s="206"/>
      <c r="K63" s="206"/>
      <c r="L63" s="206"/>
      <c r="M63" s="206"/>
      <c r="N63" s="206"/>
      <c r="O63" s="206"/>
      <c r="P63" s="206"/>
      <c r="Q63" s="206"/>
      <c r="R63" s="206"/>
      <c r="S63" s="206"/>
      <c r="T63" s="206"/>
      <c r="U63" s="206"/>
      <c r="V63" s="206"/>
      <c r="W63" s="206"/>
      <c r="X63" s="206"/>
    </row>
    <row r="64" spans="2:32" ht="14.25" customHeight="1">
      <c r="B64" s="450" t="s">
        <v>507</v>
      </c>
      <c r="C64" s="451"/>
      <c r="D64" s="205"/>
      <c r="E64" s="452">
        <f>COUNTIF(E18:F62,"=X")</f>
        <v>2</v>
      </c>
      <c r="F64" s="452"/>
      <c r="G64" s="452">
        <f>COUNTIF(G18:H62,"=X")</f>
        <v>20</v>
      </c>
      <c r="H64" s="452"/>
      <c r="I64" s="452">
        <f>COUNTIF(I18:J62,"=X")</f>
        <v>21</v>
      </c>
      <c r="J64" s="452"/>
      <c r="K64" s="452">
        <f>COUNTIF(K18:L62,"=X")</f>
        <v>2</v>
      </c>
      <c r="L64" s="452"/>
      <c r="M64" s="452">
        <f>COUNTIF(M18:N62,"=X")</f>
        <v>7</v>
      </c>
      <c r="N64" s="452"/>
      <c r="O64" s="452">
        <f>COUNTIF(O18:P62,"=X")</f>
        <v>1</v>
      </c>
      <c r="P64" s="452"/>
      <c r="Q64" s="205"/>
      <c r="R64" s="205"/>
      <c r="S64" s="452">
        <f>COUNTIF(S18:T62,"=X")</f>
        <v>4</v>
      </c>
      <c r="T64" s="452"/>
      <c r="U64" s="452">
        <f>COUNTIF(U18:V62,"=X")</f>
        <v>3</v>
      </c>
      <c r="V64" s="452"/>
      <c r="W64" s="452">
        <f>COUNTIF(W18:X62,"=X")</f>
        <v>1</v>
      </c>
      <c r="X64" s="452"/>
      <c r="Y64" s="205"/>
      <c r="Z64" s="452">
        <f>COUNTIF(Z18:AA62,"=X")</f>
        <v>39</v>
      </c>
      <c r="AA64" s="452"/>
      <c r="AB64" s="452">
        <f>COUNTIF(AB18:AC62,"=X")</f>
        <v>8</v>
      </c>
      <c r="AC64" s="452"/>
      <c r="AD64" s="452">
        <f>COUNTIF(AD18:AE62,"=X")</f>
        <v>2</v>
      </c>
      <c r="AE64" s="452"/>
      <c r="AF64" s="205"/>
    </row>
    <row r="65" spans="2:32" ht="4.5" customHeight="1">
      <c r="B65" s="446"/>
      <c r="C65" s="447"/>
      <c r="D65" s="447"/>
      <c r="E65" s="448"/>
      <c r="F65" s="448"/>
      <c r="G65" s="207"/>
      <c r="H65" s="207"/>
      <c r="I65" s="207"/>
      <c r="J65" s="448"/>
      <c r="K65" s="448"/>
      <c r="L65" s="207"/>
      <c r="M65" s="207"/>
      <c r="N65" s="207"/>
      <c r="O65" s="207"/>
      <c r="P65" s="207"/>
      <c r="Q65" s="448"/>
      <c r="R65" s="448"/>
      <c r="S65" s="207"/>
      <c r="T65" s="207"/>
      <c r="U65" s="207"/>
      <c r="V65" s="449"/>
      <c r="W65" s="449"/>
      <c r="X65" s="218"/>
      <c r="Y65" s="89"/>
      <c r="Z65" s="89"/>
      <c r="AA65" s="89"/>
      <c r="AB65" s="89"/>
      <c r="AC65" s="89"/>
      <c r="AD65" s="89"/>
      <c r="AE65" s="89"/>
      <c r="AF65" s="89"/>
    </row>
    <row r="66" spans="2:32" ht="9.75" customHeight="1">
      <c r="N66" s="104"/>
    </row>
    <row r="70" spans="2:32">
      <c r="B70" s="259"/>
    </row>
  </sheetData>
  <mergeCells count="652">
    <mergeCell ref="S34:T34"/>
    <mergeCell ref="U34:V34"/>
    <mergeCell ref="AB34:AC34"/>
    <mergeCell ref="AD34:AE34"/>
    <mergeCell ref="I31:J31"/>
    <mergeCell ref="K31:L31"/>
    <mergeCell ref="M31:N31"/>
    <mergeCell ref="O31:P31"/>
    <mergeCell ref="S31:T31"/>
    <mergeCell ref="U31:V31"/>
    <mergeCell ref="W31:X31"/>
    <mergeCell ref="Z31:AA31"/>
    <mergeCell ref="AB31:AC31"/>
    <mergeCell ref="AD33:AE33"/>
    <mergeCell ref="M32:N32"/>
    <mergeCell ref="K32:L32"/>
    <mergeCell ref="AB25:AC25"/>
    <mergeCell ref="K26:L26"/>
    <mergeCell ref="W35:X35"/>
    <mergeCell ref="Z35:AA35"/>
    <mergeCell ref="AB35:AC35"/>
    <mergeCell ref="AD35:AE35"/>
    <mergeCell ref="I33:J33"/>
    <mergeCell ref="K33:L33"/>
    <mergeCell ref="M33:N33"/>
    <mergeCell ref="O33:P33"/>
    <mergeCell ref="S33:T33"/>
    <mergeCell ref="U33:V33"/>
    <mergeCell ref="W33:X33"/>
    <mergeCell ref="Z33:AA33"/>
    <mergeCell ref="AB33:AC33"/>
    <mergeCell ref="I35:J35"/>
    <mergeCell ref="K35:L35"/>
    <mergeCell ref="M35:N35"/>
    <mergeCell ref="O35:P35"/>
    <mergeCell ref="S35:T35"/>
    <mergeCell ref="U35:V35"/>
    <mergeCell ref="AD31:AE31"/>
    <mergeCell ref="W34:X34"/>
    <mergeCell ref="Z34:AA34"/>
    <mergeCell ref="B4:C12"/>
    <mergeCell ref="H10:H12"/>
    <mergeCell ref="G15:H15"/>
    <mergeCell ref="G18:H18"/>
    <mergeCell ref="S10:S12"/>
    <mergeCell ref="T10:T12"/>
    <mergeCell ref="J10:J12"/>
    <mergeCell ref="K10:K12"/>
    <mergeCell ref="I15:J15"/>
    <mergeCell ref="K15:L15"/>
    <mergeCell ref="O15:P15"/>
    <mergeCell ref="Q10:Q12"/>
    <mergeCell ref="M15:N15"/>
    <mergeCell ref="S46:T46"/>
    <mergeCell ref="U46:V46"/>
    <mergeCell ref="W46:X46"/>
    <mergeCell ref="Z46:AA46"/>
    <mergeCell ref="E50:F50"/>
    <mergeCell ref="I50:J50"/>
    <mergeCell ref="AE10:AE12"/>
    <mergeCell ref="Z15:AA15"/>
    <mergeCell ref="E4:AE4"/>
    <mergeCell ref="AB15:AC15"/>
    <mergeCell ref="AD15:AE15"/>
    <mergeCell ref="E15:F15"/>
    <mergeCell ref="E8:Q9"/>
    <mergeCell ref="E6:Q7"/>
    <mergeCell ref="E5:AE5"/>
    <mergeCell ref="S6:AE6"/>
    <mergeCell ref="S7:AE7"/>
    <mergeCell ref="S8:X8"/>
    <mergeCell ref="Z8:AE8"/>
    <mergeCell ref="S9:X9"/>
    <mergeCell ref="Z9:AE9"/>
    <mergeCell ref="AB10:AB12"/>
    <mergeCell ref="AC10:AC12"/>
    <mergeCell ref="AD10:AD12"/>
    <mergeCell ref="B59:D59"/>
    <mergeCell ref="E59:F59"/>
    <mergeCell ref="I59:J59"/>
    <mergeCell ref="K59:L59"/>
    <mergeCell ref="L10:L12"/>
    <mergeCell ref="M10:M12"/>
    <mergeCell ref="N10:N12"/>
    <mergeCell ref="O10:O12"/>
    <mergeCell ref="P10:P12"/>
    <mergeCell ref="B15:C15"/>
    <mergeCell ref="B46:D46"/>
    <mergeCell ref="E46:F46"/>
    <mergeCell ref="I46:J46"/>
    <mergeCell ref="K46:L46"/>
    <mergeCell ref="E10:E12"/>
    <mergeCell ref="F10:F12"/>
    <mergeCell ref="I10:I12"/>
    <mergeCell ref="G10:G12"/>
    <mergeCell ref="B18:D18"/>
    <mergeCell ref="E18:F18"/>
    <mergeCell ref="I18:J18"/>
    <mergeCell ref="K18:L18"/>
    <mergeCell ref="M18:N18"/>
    <mergeCell ref="O18:P18"/>
    <mergeCell ref="S61:T61"/>
    <mergeCell ref="U61:V61"/>
    <mergeCell ref="AB64:AC64"/>
    <mergeCell ref="AD64:AE64"/>
    <mergeCell ref="AD58:AE58"/>
    <mergeCell ref="B58:D58"/>
    <mergeCell ref="E58:F58"/>
    <mergeCell ref="I58:J58"/>
    <mergeCell ref="K58:L58"/>
    <mergeCell ref="S58:T58"/>
    <mergeCell ref="U58:V58"/>
    <mergeCell ref="B62:D62"/>
    <mergeCell ref="S60:T60"/>
    <mergeCell ref="E64:F64"/>
    <mergeCell ref="Z64:AA64"/>
    <mergeCell ref="O61:P61"/>
    <mergeCell ref="B60:D60"/>
    <mergeCell ref="E60:F60"/>
    <mergeCell ref="G60:H60"/>
    <mergeCell ref="I60:J60"/>
    <mergeCell ref="K60:L60"/>
    <mergeCell ref="M60:N60"/>
    <mergeCell ref="O60:P60"/>
    <mergeCell ref="S59:T59"/>
    <mergeCell ref="B65:D65"/>
    <mergeCell ref="E65:F65"/>
    <mergeCell ref="J65:K65"/>
    <mergeCell ref="Q65:R65"/>
    <mergeCell ref="V65:W65"/>
    <mergeCell ref="B64:C64"/>
    <mergeCell ref="I64:J64"/>
    <mergeCell ref="K64:L64"/>
    <mergeCell ref="M64:N64"/>
    <mergeCell ref="O64:P64"/>
    <mergeCell ref="S64:T64"/>
    <mergeCell ref="U64:V64"/>
    <mergeCell ref="W64:X64"/>
    <mergeCell ref="G64:H64"/>
    <mergeCell ref="M58:N58"/>
    <mergeCell ref="O58:P58"/>
    <mergeCell ref="M59:N59"/>
    <mergeCell ref="O59:P59"/>
    <mergeCell ref="W59:X59"/>
    <mergeCell ref="Z59:AA59"/>
    <mergeCell ref="AB59:AC59"/>
    <mergeCell ref="Z58:AA58"/>
    <mergeCell ref="AB58:AC58"/>
    <mergeCell ref="B49:D49"/>
    <mergeCell ref="E49:F49"/>
    <mergeCell ref="I49:J49"/>
    <mergeCell ref="K49:L49"/>
    <mergeCell ref="M49:N49"/>
    <mergeCell ref="O49:P49"/>
    <mergeCell ref="M50:N50"/>
    <mergeCell ref="O50:P50"/>
    <mergeCell ref="W49:X49"/>
    <mergeCell ref="B50:D50"/>
    <mergeCell ref="AD54:AE54"/>
    <mergeCell ref="Z55:AA55"/>
    <mergeCell ref="G54:H54"/>
    <mergeCell ref="G55:H55"/>
    <mergeCell ref="AB54:AC54"/>
    <mergeCell ref="S55:T55"/>
    <mergeCell ref="U55:V55"/>
    <mergeCell ref="U54:V54"/>
    <mergeCell ref="AB52:AC52"/>
    <mergeCell ref="AD52:AE52"/>
    <mergeCell ref="I52:J52"/>
    <mergeCell ref="K52:L52"/>
    <mergeCell ref="G52:H52"/>
    <mergeCell ref="W54:X54"/>
    <mergeCell ref="Z54:AA54"/>
    <mergeCell ref="S54:T54"/>
    <mergeCell ref="AB55:AC55"/>
    <mergeCell ref="AD55:AE55"/>
    <mergeCell ref="W55:X55"/>
    <mergeCell ref="K53:L53"/>
    <mergeCell ref="U52:V52"/>
    <mergeCell ref="B52:D52"/>
    <mergeCell ref="E55:F55"/>
    <mergeCell ref="I55:J55"/>
    <mergeCell ref="K55:L55"/>
    <mergeCell ref="M54:N54"/>
    <mergeCell ref="O54:P54"/>
    <mergeCell ref="M55:N55"/>
    <mergeCell ref="E52:F52"/>
    <mergeCell ref="B51:D51"/>
    <mergeCell ref="E51:F51"/>
    <mergeCell ref="I51:J51"/>
    <mergeCell ref="K51:L51"/>
    <mergeCell ref="G51:H51"/>
    <mergeCell ref="G53:H53"/>
    <mergeCell ref="B53:D53"/>
    <mergeCell ref="E53:F53"/>
    <mergeCell ref="M51:N51"/>
    <mergeCell ref="O51:P51"/>
    <mergeCell ref="M52:N52"/>
    <mergeCell ref="O52:P52"/>
    <mergeCell ref="M53:N53"/>
    <mergeCell ref="O53:P53"/>
    <mergeCell ref="O55:P55"/>
    <mergeCell ref="I53:J53"/>
    <mergeCell ref="B48:D48"/>
    <mergeCell ref="E48:F48"/>
    <mergeCell ref="I48:J48"/>
    <mergeCell ref="K48:L48"/>
    <mergeCell ref="E62:F62"/>
    <mergeCell ref="B61:D61"/>
    <mergeCell ref="E61:F61"/>
    <mergeCell ref="G61:H61"/>
    <mergeCell ref="I61:J61"/>
    <mergeCell ref="K61:L61"/>
    <mergeCell ref="G48:H48"/>
    <mergeCell ref="G49:H49"/>
    <mergeCell ref="B54:D54"/>
    <mergeCell ref="E54:F54"/>
    <mergeCell ref="I54:J54"/>
    <mergeCell ref="K54:L54"/>
    <mergeCell ref="I62:J62"/>
    <mergeCell ref="K62:L62"/>
    <mergeCell ref="G50:H50"/>
    <mergeCell ref="G58:H58"/>
    <mergeCell ref="G59:H59"/>
    <mergeCell ref="G62:H62"/>
    <mergeCell ref="B55:D55"/>
    <mergeCell ref="K50:L50"/>
    <mergeCell ref="AD38:AE38"/>
    <mergeCell ref="I36:J36"/>
    <mergeCell ref="Z37:AA37"/>
    <mergeCell ref="AB37:AC37"/>
    <mergeCell ref="Z38:AA38"/>
    <mergeCell ref="AB38:AC38"/>
    <mergeCell ref="O41:P41"/>
    <mergeCell ref="AD39:AE39"/>
    <mergeCell ref="S39:T39"/>
    <mergeCell ref="U39:V39"/>
    <mergeCell ref="W39:X39"/>
    <mergeCell ref="AD40:AE40"/>
    <mergeCell ref="K40:L40"/>
    <mergeCell ref="S40:T40"/>
    <mergeCell ref="K39:L39"/>
    <mergeCell ref="AD41:AE41"/>
    <mergeCell ref="AD36:AE36"/>
    <mergeCell ref="K41:L41"/>
    <mergeCell ref="S41:T41"/>
    <mergeCell ref="U41:V41"/>
    <mergeCell ref="M41:N41"/>
    <mergeCell ref="O39:P39"/>
    <mergeCell ref="W37:X37"/>
    <mergeCell ref="S36:T36"/>
    <mergeCell ref="S44:T44"/>
    <mergeCell ref="U44:V44"/>
    <mergeCell ref="W44:X44"/>
    <mergeCell ref="Z44:AA44"/>
    <mergeCell ref="G43:H43"/>
    <mergeCell ref="G44:H44"/>
    <mergeCell ref="I45:J45"/>
    <mergeCell ref="G45:H45"/>
    <mergeCell ref="M43:N43"/>
    <mergeCell ref="O43:P43"/>
    <mergeCell ref="K43:L43"/>
    <mergeCell ref="K45:L45"/>
    <mergeCell ref="AD24:AE24"/>
    <mergeCell ref="AD26:AE26"/>
    <mergeCell ref="S26:T26"/>
    <mergeCell ref="U26:V26"/>
    <mergeCell ref="W26:X26"/>
    <mergeCell ref="Z26:AA26"/>
    <mergeCell ref="AB26:AC26"/>
    <mergeCell ref="AD29:AE29"/>
    <mergeCell ref="AB32:AC32"/>
    <mergeCell ref="S32:T32"/>
    <mergeCell ref="U32:V32"/>
    <mergeCell ref="W32:X32"/>
    <mergeCell ref="Z32:AA32"/>
    <mergeCell ref="AD25:AE25"/>
    <mergeCell ref="S27:T27"/>
    <mergeCell ref="U27:V27"/>
    <mergeCell ref="W27:X27"/>
    <mergeCell ref="Z27:AA27"/>
    <mergeCell ref="AB27:AC27"/>
    <mergeCell ref="AD27:AE27"/>
    <mergeCell ref="S25:T25"/>
    <mergeCell ref="U25:V25"/>
    <mergeCell ref="W25:X25"/>
    <mergeCell ref="Z25:AA25"/>
    <mergeCell ref="W36:X36"/>
    <mergeCell ref="Z36:AA36"/>
    <mergeCell ref="AD37:AE37"/>
    <mergeCell ref="S37:T37"/>
    <mergeCell ref="B23:D23"/>
    <mergeCell ref="E23:F23"/>
    <mergeCell ref="I23:J23"/>
    <mergeCell ref="K23:L23"/>
    <mergeCell ref="U23:V23"/>
    <mergeCell ref="W23:X23"/>
    <mergeCell ref="AB23:AC23"/>
    <mergeCell ref="AD23:AE23"/>
    <mergeCell ref="Z23:AA23"/>
    <mergeCell ref="Z29:AA29"/>
    <mergeCell ref="AB29:AC29"/>
    <mergeCell ref="Z24:AA24"/>
    <mergeCell ref="AB36:AC36"/>
    <mergeCell ref="AD28:AE28"/>
    <mergeCell ref="AD30:AE30"/>
    <mergeCell ref="Z28:AA28"/>
    <mergeCell ref="AD32:AE32"/>
    <mergeCell ref="AB24:AC24"/>
    <mergeCell ref="M24:N24"/>
    <mergeCell ref="O24:P24"/>
    <mergeCell ref="M36:N36"/>
    <mergeCell ref="O36:P36"/>
    <mergeCell ref="B27:D27"/>
    <mergeCell ref="E27:F27"/>
    <mergeCell ref="G27:H27"/>
    <mergeCell ref="I27:J27"/>
    <mergeCell ref="K27:L27"/>
    <mergeCell ref="M27:N27"/>
    <mergeCell ref="O27:P27"/>
    <mergeCell ref="M34:N34"/>
    <mergeCell ref="O34:P34"/>
    <mergeCell ref="O32:P32"/>
    <mergeCell ref="B35:D35"/>
    <mergeCell ref="E35:F35"/>
    <mergeCell ref="G35:H35"/>
    <mergeCell ref="B28:D28"/>
    <mergeCell ref="E28:F28"/>
    <mergeCell ref="K29:L29"/>
    <mergeCell ref="B29:D29"/>
    <mergeCell ref="B34:D34"/>
    <mergeCell ref="E34:F34"/>
    <mergeCell ref="I34:J34"/>
    <mergeCell ref="K34:L34"/>
    <mergeCell ref="E30:F30"/>
    <mergeCell ref="G26:H26"/>
    <mergeCell ref="M26:N26"/>
    <mergeCell ref="O26:P26"/>
    <mergeCell ref="I22:J22"/>
    <mergeCell ref="K22:L22"/>
    <mergeCell ref="O22:P22"/>
    <mergeCell ref="M22:N22"/>
    <mergeCell ref="I25:J25"/>
    <mergeCell ref="I26:J26"/>
    <mergeCell ref="U24:V24"/>
    <mergeCell ref="E21:F21"/>
    <mergeCell ref="I21:J21"/>
    <mergeCell ref="E20:F20"/>
    <mergeCell ref="I20:J20"/>
    <mergeCell ref="B20:D20"/>
    <mergeCell ref="B25:D25"/>
    <mergeCell ref="E25:F25"/>
    <mergeCell ref="O23:P23"/>
    <mergeCell ref="S24:T24"/>
    <mergeCell ref="E22:F22"/>
    <mergeCell ref="K24:L24"/>
    <mergeCell ref="G25:H25"/>
    <mergeCell ref="G22:H22"/>
    <mergeCell ref="G23:H23"/>
    <mergeCell ref="G24:H24"/>
    <mergeCell ref="B24:D24"/>
    <mergeCell ref="B22:D22"/>
    <mergeCell ref="K25:L25"/>
    <mergeCell ref="M25:N25"/>
    <mergeCell ref="O25:P25"/>
    <mergeCell ref="B19:D19"/>
    <mergeCell ref="E19:F19"/>
    <mergeCell ref="I19:J19"/>
    <mergeCell ref="K19:L19"/>
    <mergeCell ref="M19:N19"/>
    <mergeCell ref="O19:P19"/>
    <mergeCell ref="M20:N20"/>
    <mergeCell ref="O20:P20"/>
    <mergeCell ref="B21:D21"/>
    <mergeCell ref="M21:N21"/>
    <mergeCell ref="O21:P21"/>
    <mergeCell ref="K21:L21"/>
    <mergeCell ref="K20:L20"/>
    <mergeCell ref="G19:H19"/>
    <mergeCell ref="G20:H20"/>
    <mergeCell ref="G21:H21"/>
    <mergeCell ref="AB20:AC20"/>
    <mergeCell ref="AD20:AE20"/>
    <mergeCell ref="Z18:AA18"/>
    <mergeCell ref="AB18:AC18"/>
    <mergeCell ref="AD18:AE18"/>
    <mergeCell ref="AD19:AE19"/>
    <mergeCell ref="Z19:AA19"/>
    <mergeCell ref="AB19:AC19"/>
    <mergeCell ref="S18:T18"/>
    <mergeCell ref="AD21:AE21"/>
    <mergeCell ref="W24:X24"/>
    <mergeCell ref="M39:N39"/>
    <mergeCell ref="U38:V38"/>
    <mergeCell ref="W38:X38"/>
    <mergeCell ref="U37:V37"/>
    <mergeCell ref="O28:P28"/>
    <mergeCell ref="B47:D47"/>
    <mergeCell ref="B44:D44"/>
    <mergeCell ref="E24:F24"/>
    <mergeCell ref="I24:J24"/>
    <mergeCell ref="B32:D32"/>
    <mergeCell ref="E32:F32"/>
    <mergeCell ref="I32:J32"/>
    <mergeCell ref="E43:F43"/>
    <mergeCell ref="I43:J43"/>
    <mergeCell ref="E41:F41"/>
    <mergeCell ref="I41:J41"/>
    <mergeCell ref="B43:D43"/>
    <mergeCell ref="B40:D40"/>
    <mergeCell ref="E40:F40"/>
    <mergeCell ref="I40:J40"/>
    <mergeCell ref="G37:H37"/>
    <mergeCell ref="G38:H38"/>
    <mergeCell ref="O38:P38"/>
    <mergeCell ref="S38:T38"/>
    <mergeCell ref="M23:N23"/>
    <mergeCell ref="U36:V36"/>
    <mergeCell ref="M47:N47"/>
    <mergeCell ref="O47:P47"/>
    <mergeCell ref="Z10:Z12"/>
    <mergeCell ref="AA10:AA12"/>
    <mergeCell ref="S15:T15"/>
    <mergeCell ref="X10:X12"/>
    <mergeCell ref="U10:U12"/>
    <mergeCell ref="V10:V12"/>
    <mergeCell ref="W10:W12"/>
    <mergeCell ref="U15:V15"/>
    <mergeCell ref="M46:N46"/>
    <mergeCell ref="O46:P46"/>
    <mergeCell ref="W42:X42"/>
    <mergeCell ref="S23:T23"/>
    <mergeCell ref="M37:N37"/>
    <mergeCell ref="O37:P37"/>
    <mergeCell ref="M38:N38"/>
    <mergeCell ref="U29:V29"/>
    <mergeCell ref="W29:X29"/>
    <mergeCell ref="Z39:AA39"/>
    <mergeCell ref="W15:X15"/>
    <mergeCell ref="AB39:AC39"/>
    <mergeCell ref="W40:X40"/>
    <mergeCell ref="Z40:AA40"/>
    <mergeCell ref="AB40:AC40"/>
    <mergeCell ref="U40:V40"/>
    <mergeCell ref="M40:N40"/>
    <mergeCell ref="O40:P40"/>
    <mergeCell ref="Z47:AA47"/>
    <mergeCell ref="S47:T47"/>
    <mergeCell ref="U47:V47"/>
    <mergeCell ref="W47:X47"/>
    <mergeCell ref="S43:T43"/>
    <mergeCell ref="U43:V43"/>
    <mergeCell ref="W43:X43"/>
    <mergeCell ref="AB44:AC44"/>
    <mergeCell ref="M44:N44"/>
    <mergeCell ref="O44:P44"/>
    <mergeCell ref="W41:X41"/>
    <mergeCell ref="Z41:AA41"/>
    <mergeCell ref="AB41:AC41"/>
    <mergeCell ref="M45:N45"/>
    <mergeCell ref="O45:P45"/>
    <mergeCell ref="Z43:AA43"/>
    <mergeCell ref="M42:N42"/>
    <mergeCell ref="W48:X48"/>
    <mergeCell ref="Z48:AA48"/>
    <mergeCell ref="S48:T48"/>
    <mergeCell ref="S50:T50"/>
    <mergeCell ref="U50:V50"/>
    <mergeCell ref="W50:X50"/>
    <mergeCell ref="Z50:AA50"/>
    <mergeCell ref="AD43:AE43"/>
    <mergeCell ref="AD45:AE45"/>
    <mergeCell ref="AD47:AE47"/>
    <mergeCell ref="AB43:AC43"/>
    <mergeCell ref="S45:T45"/>
    <mergeCell ref="U45:V45"/>
    <mergeCell ref="W45:X45"/>
    <mergeCell ref="Z45:AA45"/>
    <mergeCell ref="AB45:AC45"/>
    <mergeCell ref="AD46:AE46"/>
    <mergeCell ref="AD44:AE44"/>
    <mergeCell ref="AB46:AC46"/>
    <mergeCell ref="AB47:AC47"/>
    <mergeCell ref="Z49:AA49"/>
    <mergeCell ref="AB48:AC48"/>
    <mergeCell ref="AB50:AC50"/>
    <mergeCell ref="AD50:AE50"/>
    <mergeCell ref="B57:D57"/>
    <mergeCell ref="E57:F57"/>
    <mergeCell ref="I57:J57"/>
    <mergeCell ref="K57:L57"/>
    <mergeCell ref="S57:T57"/>
    <mergeCell ref="U57:V57"/>
    <mergeCell ref="M56:N56"/>
    <mergeCell ref="O56:P56"/>
    <mergeCell ref="M57:N57"/>
    <mergeCell ref="O57:P57"/>
    <mergeCell ref="G56:H56"/>
    <mergeCell ref="G57:H57"/>
    <mergeCell ref="I56:J56"/>
    <mergeCell ref="K56:L56"/>
    <mergeCell ref="B56:D56"/>
    <mergeCell ref="E56:F56"/>
    <mergeCell ref="W51:X51"/>
    <mergeCell ref="W52:X52"/>
    <mergeCell ref="Z52:AA52"/>
    <mergeCell ref="U51:V51"/>
    <mergeCell ref="Z53:AA53"/>
    <mergeCell ref="AB53:AC53"/>
    <mergeCell ref="S52:T52"/>
    <mergeCell ref="M62:N62"/>
    <mergeCell ref="O62:P62"/>
    <mergeCell ref="W57:X57"/>
    <mergeCell ref="Z57:AA57"/>
    <mergeCell ref="AB57:AC57"/>
    <mergeCell ref="AD57:AE57"/>
    <mergeCell ref="AD56:AE56"/>
    <mergeCell ref="Z56:AA56"/>
    <mergeCell ref="AB56:AC56"/>
    <mergeCell ref="U56:V56"/>
    <mergeCell ref="S56:T56"/>
    <mergeCell ref="W56:X56"/>
    <mergeCell ref="Z61:AA61"/>
    <mergeCell ref="AB61:AC61"/>
    <mergeCell ref="AD61:AE61"/>
    <mergeCell ref="W60:X60"/>
    <mergeCell ref="Z60:AA60"/>
    <mergeCell ref="AB60:AC60"/>
    <mergeCell ref="AD60:AE60"/>
    <mergeCell ref="W61:X61"/>
    <mergeCell ref="U60:V60"/>
    <mergeCell ref="AD59:AE59"/>
    <mergeCell ref="W58:X58"/>
    <mergeCell ref="U59:V59"/>
    <mergeCell ref="M48:N48"/>
    <mergeCell ref="O48:P48"/>
    <mergeCell ref="U48:V48"/>
    <mergeCell ref="Z42:AA42"/>
    <mergeCell ref="AB42:AC42"/>
    <mergeCell ref="AD42:AE42"/>
    <mergeCell ref="AD62:AE62"/>
    <mergeCell ref="S62:T62"/>
    <mergeCell ref="U62:V62"/>
    <mergeCell ref="W62:X62"/>
    <mergeCell ref="Z62:AA62"/>
    <mergeCell ref="AB62:AC62"/>
    <mergeCell ref="AD48:AE48"/>
    <mergeCell ref="S49:T49"/>
    <mergeCell ref="U49:V49"/>
    <mergeCell ref="S53:T53"/>
    <mergeCell ref="U53:V53"/>
    <mergeCell ref="W53:X53"/>
    <mergeCell ref="AB49:AC49"/>
    <mergeCell ref="AD53:AE53"/>
    <mergeCell ref="AD49:AE49"/>
    <mergeCell ref="AD51:AE51"/>
    <mergeCell ref="S51:T51"/>
    <mergeCell ref="M61:N61"/>
    <mergeCell ref="Z51:AA51"/>
    <mergeCell ref="AB51:AC51"/>
    <mergeCell ref="S19:T19"/>
    <mergeCell ref="U19:V19"/>
    <mergeCell ref="U18:V18"/>
    <mergeCell ref="W18:X18"/>
    <mergeCell ref="W19:X19"/>
    <mergeCell ref="W21:X21"/>
    <mergeCell ref="AD22:AE22"/>
    <mergeCell ref="S22:T22"/>
    <mergeCell ref="U22:V22"/>
    <mergeCell ref="W22:X22"/>
    <mergeCell ref="Z22:AA22"/>
    <mergeCell ref="AB22:AC22"/>
    <mergeCell ref="AB21:AC21"/>
    <mergeCell ref="W20:X20"/>
    <mergeCell ref="Z20:AA20"/>
    <mergeCell ref="Z21:AA21"/>
    <mergeCell ref="S21:T21"/>
    <mergeCell ref="U21:V21"/>
    <mergeCell ref="S20:T20"/>
    <mergeCell ref="U20:V20"/>
    <mergeCell ref="AB28:AC28"/>
    <mergeCell ref="S30:T30"/>
    <mergeCell ref="G39:H39"/>
    <mergeCell ref="G34:H34"/>
    <mergeCell ref="G29:H29"/>
    <mergeCell ref="G32:H32"/>
    <mergeCell ref="G30:H30"/>
    <mergeCell ref="I38:J38"/>
    <mergeCell ref="K38:L38"/>
    <mergeCell ref="I37:J37"/>
    <mergeCell ref="K37:L37"/>
    <mergeCell ref="I39:J39"/>
    <mergeCell ref="K36:L36"/>
    <mergeCell ref="G36:H36"/>
    <mergeCell ref="I30:J30"/>
    <mergeCell ref="K30:L30"/>
    <mergeCell ref="I29:J29"/>
    <mergeCell ref="K47:L47"/>
    <mergeCell ref="G47:H47"/>
    <mergeCell ref="B45:D45"/>
    <mergeCell ref="E47:F47"/>
    <mergeCell ref="E44:F44"/>
    <mergeCell ref="I44:J44"/>
    <mergeCell ref="K44:L44"/>
    <mergeCell ref="E45:F45"/>
    <mergeCell ref="E42:F42"/>
    <mergeCell ref="G42:H42"/>
    <mergeCell ref="I42:J42"/>
    <mergeCell ref="K42:L42"/>
    <mergeCell ref="I47:J47"/>
    <mergeCell ref="B42:D42"/>
    <mergeCell ref="G46:H46"/>
    <mergeCell ref="G40:H40"/>
    <mergeCell ref="O42:P42"/>
    <mergeCell ref="S42:T42"/>
    <mergeCell ref="U42:V42"/>
    <mergeCell ref="G41:H41"/>
    <mergeCell ref="B41:D41"/>
    <mergeCell ref="B39:D39"/>
    <mergeCell ref="E39:F39"/>
    <mergeCell ref="B26:D26"/>
    <mergeCell ref="E26:F26"/>
    <mergeCell ref="B36:D36"/>
    <mergeCell ref="E36:F36"/>
    <mergeCell ref="B33:D33"/>
    <mergeCell ref="E33:F33"/>
    <mergeCell ref="G33:H33"/>
    <mergeCell ref="B31:D31"/>
    <mergeCell ref="E31:F31"/>
    <mergeCell ref="G31:H31"/>
    <mergeCell ref="B38:D38"/>
    <mergeCell ref="E38:F38"/>
    <mergeCell ref="B37:D37"/>
    <mergeCell ref="E37:F37"/>
    <mergeCell ref="E29:F29"/>
    <mergeCell ref="B30:D30"/>
    <mergeCell ref="U30:V30"/>
    <mergeCell ref="W30:X30"/>
    <mergeCell ref="Z30:AA30"/>
    <mergeCell ref="AB30:AC30"/>
    <mergeCell ref="G28:H28"/>
    <mergeCell ref="I28:J28"/>
    <mergeCell ref="K28:L28"/>
    <mergeCell ref="M28:N28"/>
    <mergeCell ref="U28:V28"/>
    <mergeCell ref="W28:X28"/>
    <mergeCell ref="M29:N29"/>
    <mergeCell ref="O29:P29"/>
    <mergeCell ref="S29:T29"/>
    <mergeCell ref="S28:T28"/>
    <mergeCell ref="M30:N30"/>
    <mergeCell ref="O30:P30"/>
  </mergeCells>
  <printOptions horizontalCentered="1"/>
  <pageMargins left="0" right="0" top="0" bottom="0" header="0" footer="0"/>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49"/>
  <sheetViews>
    <sheetView zoomScaleNormal="100" workbookViewId="0"/>
  </sheetViews>
  <sheetFormatPr defaultColWidth="9.109375" defaultRowHeight="13.8"/>
  <cols>
    <col min="1" max="1" width="0.5546875" style="87" customWidth="1"/>
    <col min="2" max="2" width="2.5546875" style="87" customWidth="1"/>
    <col min="3" max="3" width="34.88671875" style="87" customWidth="1"/>
    <col min="4" max="4" width="2.5546875" style="87" customWidth="1"/>
    <col min="5" max="6" width="2.6640625" style="87" customWidth="1"/>
    <col min="7" max="7" width="1.6640625" style="87" customWidth="1"/>
    <col min="8" max="9" width="2.6640625" style="87" customWidth="1"/>
    <col min="10" max="10" width="1.6640625" style="87" customWidth="1"/>
    <col min="11" max="12" width="2.6640625" style="87" customWidth="1"/>
    <col min="13" max="13" width="1.6640625" style="87" customWidth="1"/>
    <col min="14" max="15" width="2.6640625" style="87" customWidth="1"/>
    <col min="16" max="17" width="1.6640625" style="87" customWidth="1"/>
    <col min="18" max="19" width="2.6640625" style="87" customWidth="1"/>
    <col min="20" max="21" width="1.6640625" style="87" customWidth="1"/>
    <col min="22" max="22" width="2.33203125" style="87" customWidth="1"/>
    <col min="23" max="24" width="2.6640625" style="87" customWidth="1"/>
    <col min="25" max="25" width="2.33203125" style="87" customWidth="1"/>
    <col min="26" max="16384" width="9.109375" style="87"/>
  </cols>
  <sheetData>
    <row r="1" spans="2:25" ht="18" customHeight="1">
      <c r="B1" s="86" t="s">
        <v>1471</v>
      </c>
    </row>
    <row r="2" spans="2:25" ht="18" customHeight="1">
      <c r="B2" s="186" t="s">
        <v>1472</v>
      </c>
    </row>
    <row r="3" spans="2:25" ht="6" customHeight="1">
      <c r="B3" s="88"/>
      <c r="C3" s="89"/>
      <c r="D3" s="89"/>
      <c r="E3" s="89"/>
      <c r="F3" s="89"/>
      <c r="G3" s="89"/>
      <c r="H3" s="89"/>
      <c r="I3" s="89"/>
      <c r="J3" s="89"/>
      <c r="K3" s="89"/>
      <c r="L3" s="89"/>
      <c r="M3" s="89"/>
      <c r="N3" s="89"/>
      <c r="O3" s="89"/>
      <c r="P3" s="89"/>
      <c r="Q3" s="89"/>
      <c r="R3" s="89"/>
      <c r="S3" s="89"/>
      <c r="T3" s="89"/>
      <c r="U3" s="89"/>
      <c r="V3" s="89"/>
      <c r="W3" s="89"/>
      <c r="X3" s="89"/>
      <c r="Y3" s="89"/>
    </row>
    <row r="4" spans="2:25" ht="10.5" customHeight="1">
      <c r="B4" s="468" t="s">
        <v>1103</v>
      </c>
      <c r="C4" s="468"/>
      <c r="D4" s="468"/>
      <c r="E4" s="476" t="s">
        <v>1</v>
      </c>
      <c r="F4" s="476"/>
      <c r="G4" s="476"/>
      <c r="H4" s="477"/>
      <c r="I4" s="477"/>
      <c r="J4" s="477"/>
      <c r="K4" s="477"/>
      <c r="L4" s="477"/>
      <c r="M4" s="477"/>
      <c r="N4" s="477"/>
      <c r="O4" s="477"/>
      <c r="P4" s="477"/>
      <c r="Q4" s="477"/>
      <c r="R4" s="477"/>
      <c r="S4" s="477"/>
      <c r="T4" s="477"/>
      <c r="U4" s="477"/>
      <c r="V4" s="477"/>
      <c r="W4" s="477"/>
      <c r="X4" s="472"/>
      <c r="Y4" s="478"/>
    </row>
    <row r="5" spans="2:25" ht="10.5" customHeight="1">
      <c r="B5" s="469"/>
      <c r="C5" s="469"/>
      <c r="D5" s="469"/>
      <c r="E5" s="479" t="s">
        <v>3</v>
      </c>
      <c r="F5" s="479"/>
      <c r="G5" s="479"/>
      <c r="H5" s="480"/>
      <c r="I5" s="480"/>
      <c r="J5" s="480"/>
      <c r="K5" s="480"/>
      <c r="L5" s="480"/>
      <c r="M5" s="480"/>
      <c r="N5" s="480"/>
      <c r="O5" s="480"/>
      <c r="P5" s="480"/>
      <c r="Q5" s="480"/>
      <c r="R5" s="480"/>
      <c r="S5" s="480"/>
      <c r="T5" s="480"/>
      <c r="U5" s="480"/>
      <c r="V5" s="480"/>
      <c r="W5" s="480"/>
      <c r="X5" s="475"/>
      <c r="Y5" s="481"/>
    </row>
    <row r="6" spans="2:25" ht="11.25" customHeight="1">
      <c r="B6" s="469"/>
      <c r="C6" s="469"/>
      <c r="D6" s="469"/>
      <c r="E6" s="472"/>
      <c r="F6" s="472"/>
      <c r="G6" s="472"/>
      <c r="H6" s="472"/>
      <c r="I6" s="472"/>
      <c r="J6" s="472"/>
      <c r="K6" s="472"/>
      <c r="L6" s="472"/>
      <c r="M6" s="472"/>
      <c r="N6" s="472"/>
      <c r="O6" s="472"/>
      <c r="P6" s="2"/>
      <c r="Q6" s="473" t="s">
        <v>540</v>
      </c>
      <c r="R6" s="478"/>
      <c r="S6" s="478"/>
      <c r="T6" s="478"/>
      <c r="U6" s="94"/>
      <c r="V6" s="473" t="s">
        <v>541</v>
      </c>
      <c r="W6" s="486"/>
      <c r="X6" s="486"/>
      <c r="Y6" s="486"/>
    </row>
    <row r="7" spans="2:25" ht="11.25" customHeight="1">
      <c r="B7" s="469"/>
      <c r="C7" s="469"/>
      <c r="D7" s="469"/>
      <c r="E7" s="473" t="s">
        <v>6</v>
      </c>
      <c r="F7" s="473"/>
      <c r="G7" s="473"/>
      <c r="H7" s="473"/>
      <c r="I7" s="473"/>
      <c r="J7" s="473"/>
      <c r="K7" s="473"/>
      <c r="L7" s="473"/>
      <c r="M7" s="473"/>
      <c r="N7" s="473"/>
      <c r="O7" s="473"/>
      <c r="P7" s="94"/>
      <c r="Q7" s="478"/>
      <c r="R7" s="478"/>
      <c r="S7" s="478"/>
      <c r="T7" s="478"/>
      <c r="U7" s="92"/>
      <c r="V7" s="486"/>
      <c r="W7" s="486"/>
      <c r="X7" s="486"/>
      <c r="Y7" s="486"/>
    </row>
    <row r="8" spans="2:25" ht="11.25" customHeight="1">
      <c r="B8" s="469"/>
      <c r="C8" s="469"/>
      <c r="D8" s="469"/>
      <c r="E8" s="474" t="s">
        <v>10</v>
      </c>
      <c r="F8" s="474"/>
      <c r="G8" s="474"/>
      <c r="H8" s="474"/>
      <c r="I8" s="474"/>
      <c r="J8" s="474"/>
      <c r="K8" s="474"/>
      <c r="L8" s="474"/>
      <c r="M8" s="474"/>
      <c r="N8" s="474"/>
      <c r="O8" s="474"/>
      <c r="P8" s="96"/>
      <c r="Q8" s="478"/>
      <c r="R8" s="478"/>
      <c r="S8" s="478"/>
      <c r="T8" s="478"/>
      <c r="U8" s="92"/>
      <c r="V8" s="486"/>
      <c r="W8" s="486"/>
      <c r="X8" s="486"/>
      <c r="Y8" s="486"/>
    </row>
    <row r="9" spans="2:25" ht="11.25" customHeight="1">
      <c r="B9" s="469"/>
      <c r="C9" s="469"/>
      <c r="D9" s="469"/>
      <c r="E9" s="475"/>
      <c r="F9" s="475"/>
      <c r="G9" s="475"/>
      <c r="H9" s="475"/>
      <c r="I9" s="475"/>
      <c r="J9" s="475"/>
      <c r="K9" s="475"/>
      <c r="L9" s="475"/>
      <c r="M9" s="475"/>
      <c r="N9" s="475"/>
      <c r="O9" s="475"/>
      <c r="P9" s="2"/>
      <c r="Q9" s="481"/>
      <c r="R9" s="481"/>
      <c r="S9" s="481"/>
      <c r="T9" s="481"/>
      <c r="U9" s="92"/>
      <c r="V9" s="485"/>
      <c r="W9" s="485"/>
      <c r="X9" s="485"/>
      <c r="Y9" s="485"/>
    </row>
    <row r="10" spans="2:25" ht="11.25" customHeight="1">
      <c r="B10" s="469"/>
      <c r="C10" s="469"/>
      <c r="D10" s="469"/>
      <c r="E10" s="457" t="s">
        <v>25</v>
      </c>
      <c r="F10" s="458"/>
      <c r="G10" s="458"/>
      <c r="H10" s="482"/>
      <c r="I10" s="482"/>
      <c r="J10" s="97"/>
      <c r="K10" s="457" t="s">
        <v>26</v>
      </c>
      <c r="L10" s="458"/>
      <c r="M10" s="458"/>
      <c r="N10" s="482"/>
      <c r="O10" s="482"/>
      <c r="P10" s="483"/>
      <c r="Q10" s="483"/>
      <c r="R10" s="483"/>
      <c r="S10" s="483"/>
      <c r="T10" s="483"/>
      <c r="U10" s="483"/>
      <c r="V10" s="483"/>
      <c r="W10" s="483"/>
      <c r="X10" s="483"/>
      <c r="Y10" s="92"/>
    </row>
    <row r="11" spans="2:25" ht="11.25" customHeight="1">
      <c r="B11" s="469"/>
      <c r="C11" s="469"/>
      <c r="D11" s="469"/>
      <c r="E11" s="466" t="s">
        <v>27</v>
      </c>
      <c r="F11" s="467"/>
      <c r="G11" s="467"/>
      <c r="H11" s="484"/>
      <c r="I11" s="484"/>
      <c r="J11" s="92"/>
      <c r="K11" s="466" t="s">
        <v>28</v>
      </c>
      <c r="L11" s="467"/>
      <c r="M11" s="467"/>
      <c r="N11" s="484"/>
      <c r="O11" s="484"/>
      <c r="P11" s="484"/>
      <c r="Q11" s="484"/>
      <c r="R11" s="484"/>
      <c r="S11" s="484"/>
      <c r="T11" s="484"/>
      <c r="U11" s="484"/>
      <c r="V11" s="484"/>
      <c r="W11" s="484"/>
      <c r="X11" s="484"/>
      <c r="Y11" s="485"/>
    </row>
    <row r="12" spans="2:25" ht="73.5" customHeight="1">
      <c r="B12" s="469"/>
      <c r="C12" s="469"/>
      <c r="D12" s="469"/>
      <c r="E12" s="99" t="s">
        <v>672</v>
      </c>
      <c r="F12" s="9" t="s">
        <v>30</v>
      </c>
      <c r="G12" s="9"/>
      <c r="H12" s="99" t="s">
        <v>673</v>
      </c>
      <c r="I12" s="9" t="s">
        <v>32</v>
      </c>
      <c r="J12" s="9"/>
      <c r="K12" s="99" t="s">
        <v>672</v>
      </c>
      <c r="L12" s="9" t="s">
        <v>30</v>
      </c>
      <c r="M12" s="9"/>
      <c r="N12" s="99" t="s">
        <v>673</v>
      </c>
      <c r="O12" s="9" t="s">
        <v>32</v>
      </c>
      <c r="P12" s="9"/>
      <c r="Q12" s="9"/>
      <c r="R12" s="99" t="s">
        <v>672</v>
      </c>
      <c r="S12" s="9" t="s">
        <v>30</v>
      </c>
      <c r="T12" s="9"/>
      <c r="U12" s="9"/>
      <c r="V12" s="9"/>
      <c r="W12" s="99" t="s">
        <v>672</v>
      </c>
      <c r="X12" s="9" t="s">
        <v>30</v>
      </c>
      <c r="Y12" s="9"/>
    </row>
    <row r="13" spans="2:25" ht="6" customHeight="1">
      <c r="C13" s="92"/>
      <c r="D13" s="92"/>
      <c r="E13" s="103"/>
      <c r="F13" s="8"/>
      <c r="G13" s="8"/>
      <c r="H13" s="103"/>
      <c r="I13" s="8"/>
      <c r="J13" s="8"/>
      <c r="K13" s="103"/>
      <c r="L13" s="8"/>
      <c r="M13" s="8"/>
      <c r="N13" s="103"/>
      <c r="O13" s="8"/>
      <c r="P13" s="8"/>
      <c r="Q13" s="8"/>
      <c r="R13" s="103"/>
      <c r="S13" s="8"/>
      <c r="T13" s="8"/>
      <c r="U13" s="8"/>
      <c r="V13" s="8"/>
      <c r="W13" s="103"/>
      <c r="X13" s="8"/>
      <c r="Y13" s="8"/>
    </row>
    <row r="14" spans="2:25" ht="6" customHeight="1">
      <c r="C14" s="92"/>
      <c r="D14" s="92"/>
      <c r="E14" s="99"/>
      <c r="F14" s="9"/>
      <c r="G14" s="9"/>
      <c r="H14" s="99"/>
      <c r="I14" s="9"/>
      <c r="J14" s="9"/>
      <c r="K14" s="99"/>
      <c r="L14" s="9"/>
      <c r="M14" s="9"/>
      <c r="N14" s="99"/>
      <c r="O14" s="9"/>
      <c r="P14" s="9"/>
      <c r="Q14" s="9"/>
      <c r="R14" s="99"/>
      <c r="S14" s="9"/>
      <c r="T14" s="9"/>
      <c r="U14" s="9"/>
      <c r="V14" s="9"/>
      <c r="W14" s="99"/>
      <c r="X14" s="9"/>
      <c r="Y14" s="9"/>
    </row>
    <row r="15" spans="2:25" ht="13.5" customHeight="1">
      <c r="C15" s="194">
        <v>1</v>
      </c>
      <c r="D15" s="194"/>
      <c r="E15" s="441">
        <v>2</v>
      </c>
      <c r="F15" s="441"/>
      <c r="G15" s="217"/>
      <c r="H15" s="441">
        <v>3</v>
      </c>
      <c r="I15" s="441"/>
      <c r="J15" s="9"/>
      <c r="K15" s="441">
        <v>4</v>
      </c>
      <c r="L15" s="441"/>
      <c r="M15" s="217"/>
      <c r="N15" s="441">
        <v>5</v>
      </c>
      <c r="O15" s="441"/>
      <c r="P15" s="9"/>
      <c r="Q15" s="9"/>
      <c r="R15" s="441">
        <v>6</v>
      </c>
      <c r="S15" s="441"/>
      <c r="T15" s="217"/>
      <c r="U15" s="9"/>
      <c r="V15" s="9"/>
      <c r="W15" s="441">
        <v>7</v>
      </c>
      <c r="X15" s="441"/>
      <c r="Y15" s="217"/>
    </row>
    <row r="16" spans="2:25" ht="6" customHeight="1">
      <c r="B16" s="89"/>
      <c r="C16" s="100"/>
      <c r="D16" s="100"/>
      <c r="E16" s="103"/>
      <c r="F16" s="8"/>
      <c r="G16" s="8"/>
      <c r="H16" s="103"/>
      <c r="I16" s="8"/>
      <c r="J16" s="253"/>
      <c r="K16" s="103"/>
      <c r="L16" s="8"/>
      <c r="M16" s="8"/>
      <c r="N16" s="103"/>
      <c r="O16" s="8"/>
      <c r="P16" s="8"/>
      <c r="Q16" s="8"/>
      <c r="R16" s="103"/>
      <c r="S16" s="8"/>
      <c r="T16" s="8"/>
      <c r="U16" s="8"/>
      <c r="V16" s="8"/>
      <c r="W16" s="103"/>
      <c r="X16" s="8"/>
      <c r="Y16" s="8"/>
    </row>
    <row r="17" spans="2:28" ht="14.25" customHeight="1">
      <c r="B17" s="438" t="s">
        <v>52</v>
      </c>
      <c r="C17" s="439"/>
      <c r="D17" s="439"/>
      <c r="E17" s="437"/>
      <c r="F17" s="437"/>
      <c r="G17" s="216"/>
      <c r="H17" s="437"/>
      <c r="I17" s="437"/>
      <c r="J17" s="216"/>
      <c r="K17" s="437" t="s">
        <v>34</v>
      </c>
      <c r="L17" s="437"/>
      <c r="M17" s="216"/>
      <c r="N17" s="437"/>
      <c r="O17" s="437"/>
      <c r="P17" s="216"/>
      <c r="Q17" s="216"/>
      <c r="R17" s="437"/>
      <c r="S17" s="437"/>
      <c r="T17" s="216"/>
      <c r="U17" s="216"/>
      <c r="V17" s="216"/>
      <c r="W17" s="487"/>
      <c r="X17" s="487"/>
      <c r="Y17" s="216"/>
    </row>
    <row r="18" spans="2:28" ht="14.25" customHeight="1">
      <c r="B18" s="438" t="s">
        <v>53</v>
      </c>
      <c r="C18" s="439"/>
      <c r="D18" s="439"/>
      <c r="E18" s="437"/>
      <c r="F18" s="437"/>
      <c r="G18" s="216"/>
      <c r="H18" s="437"/>
      <c r="I18" s="437"/>
      <c r="J18" s="216"/>
      <c r="K18" s="437"/>
      <c r="L18" s="437"/>
      <c r="M18" s="216"/>
      <c r="N18" s="437"/>
      <c r="O18" s="437"/>
      <c r="P18" s="216"/>
      <c r="Q18" s="216"/>
      <c r="R18" s="437" t="s">
        <v>34</v>
      </c>
      <c r="S18" s="437"/>
      <c r="T18" s="216"/>
      <c r="U18" s="216"/>
      <c r="V18" s="216"/>
      <c r="W18" s="487"/>
      <c r="X18" s="487"/>
      <c r="Y18" s="216"/>
    </row>
    <row r="19" spans="2:28" ht="14.25" customHeight="1">
      <c r="B19" s="309" t="s">
        <v>859</v>
      </c>
      <c r="C19" s="310"/>
      <c r="D19" s="310"/>
      <c r="E19" s="437" t="s">
        <v>34</v>
      </c>
      <c r="F19" s="437"/>
      <c r="G19" s="216"/>
      <c r="H19" s="216"/>
      <c r="I19" s="216"/>
      <c r="J19" s="216"/>
      <c r="K19" s="216"/>
      <c r="L19" s="216"/>
      <c r="M19" s="216"/>
      <c r="N19" s="216"/>
      <c r="O19" s="216"/>
      <c r="P19" s="216"/>
      <c r="Q19" s="216"/>
      <c r="R19" s="216"/>
      <c r="S19" s="216"/>
      <c r="T19" s="216"/>
      <c r="U19" s="216"/>
      <c r="V19" s="216"/>
      <c r="W19" s="272"/>
      <c r="X19" s="272"/>
      <c r="Y19" s="216"/>
    </row>
    <row r="20" spans="2:28" ht="14.25" customHeight="1">
      <c r="B20" s="438" t="s">
        <v>54</v>
      </c>
      <c r="C20" s="439"/>
      <c r="D20" s="439"/>
      <c r="E20" s="437"/>
      <c r="F20" s="437"/>
      <c r="G20" s="216"/>
      <c r="H20" s="437"/>
      <c r="I20" s="437"/>
      <c r="J20" s="216"/>
      <c r="K20" s="437" t="s">
        <v>34</v>
      </c>
      <c r="L20" s="437"/>
      <c r="M20" s="216"/>
      <c r="N20" s="437"/>
      <c r="O20" s="437"/>
      <c r="P20" s="216"/>
      <c r="Q20" s="216"/>
      <c r="R20" s="437"/>
      <c r="S20" s="437"/>
      <c r="T20" s="216"/>
      <c r="U20" s="216"/>
      <c r="V20" s="216"/>
      <c r="W20" s="487"/>
      <c r="X20" s="487"/>
      <c r="Y20" s="216"/>
    </row>
    <row r="21" spans="2:28" ht="14.25" customHeight="1">
      <c r="B21" s="438" t="s">
        <v>829</v>
      </c>
      <c r="C21" s="439"/>
      <c r="D21" s="439"/>
      <c r="E21" s="437" t="s">
        <v>34</v>
      </c>
      <c r="F21" s="437"/>
      <c r="G21" s="216"/>
      <c r="H21" s="216"/>
      <c r="I21" s="216"/>
      <c r="J21" s="216"/>
      <c r="K21" s="216"/>
      <c r="L21" s="216"/>
      <c r="M21" s="216"/>
      <c r="N21" s="216"/>
      <c r="O21" s="216"/>
      <c r="P21" s="216"/>
      <c r="Q21" s="216"/>
      <c r="R21" s="216"/>
      <c r="S21" s="216"/>
      <c r="T21" s="216"/>
      <c r="U21" s="216"/>
      <c r="V21" s="216"/>
      <c r="W21" s="272"/>
      <c r="X21" s="272"/>
      <c r="Y21" s="216"/>
    </row>
    <row r="22" spans="2:28" ht="14.25" customHeight="1">
      <c r="B22" s="438" t="s">
        <v>55</v>
      </c>
      <c r="C22" s="439"/>
      <c r="D22" s="439"/>
      <c r="E22" s="437"/>
      <c r="F22" s="437"/>
      <c r="G22" s="216"/>
      <c r="H22" s="437" t="s">
        <v>34</v>
      </c>
      <c r="I22" s="437"/>
      <c r="J22" s="216"/>
      <c r="K22" s="437"/>
      <c r="L22" s="437"/>
      <c r="M22" s="216"/>
      <c r="N22" s="437"/>
      <c r="O22" s="437"/>
      <c r="P22" s="216"/>
      <c r="Q22" s="216"/>
      <c r="R22" s="437"/>
      <c r="S22" s="437"/>
      <c r="T22" s="216"/>
      <c r="U22" s="216"/>
      <c r="V22" s="216"/>
      <c r="W22" s="487"/>
      <c r="X22" s="487"/>
      <c r="Y22" s="216"/>
    </row>
    <row r="23" spans="2:28" ht="14.25" customHeight="1">
      <c r="B23" s="438" t="s">
        <v>513</v>
      </c>
      <c r="C23" s="439"/>
      <c r="D23" s="439"/>
      <c r="E23" s="437" t="s">
        <v>34</v>
      </c>
      <c r="F23" s="437"/>
      <c r="G23" s="216"/>
      <c r="H23" s="437"/>
      <c r="I23" s="437"/>
      <c r="J23" s="216"/>
      <c r="K23" s="437"/>
      <c r="L23" s="437"/>
      <c r="M23" s="216"/>
      <c r="N23" s="437"/>
      <c r="O23" s="437"/>
      <c r="P23" s="216"/>
      <c r="Q23" s="216"/>
      <c r="R23" s="437"/>
      <c r="S23" s="437"/>
      <c r="T23" s="216"/>
      <c r="U23" s="216"/>
      <c r="V23" s="216"/>
      <c r="W23" s="487"/>
      <c r="X23" s="487"/>
      <c r="Y23" s="216"/>
    </row>
    <row r="24" spans="2:28" ht="14.25" customHeight="1">
      <c r="B24" s="470" t="s">
        <v>860</v>
      </c>
      <c r="C24" s="471"/>
      <c r="D24" s="471"/>
      <c r="E24" s="437"/>
      <c r="F24" s="437"/>
      <c r="G24" s="216"/>
      <c r="H24" s="437" t="s">
        <v>34</v>
      </c>
      <c r="I24" s="437"/>
      <c r="J24" s="216"/>
      <c r="K24" s="437"/>
      <c r="L24" s="437"/>
      <c r="M24" s="216"/>
      <c r="N24" s="437"/>
      <c r="O24" s="437"/>
      <c r="P24" s="216"/>
      <c r="Q24" s="216"/>
      <c r="R24" s="437"/>
      <c r="S24" s="437"/>
      <c r="T24" s="216"/>
      <c r="U24" s="216"/>
      <c r="V24" s="216"/>
      <c r="W24" s="487"/>
      <c r="X24" s="487"/>
      <c r="Y24" s="216"/>
      <c r="AB24" s="311"/>
    </row>
    <row r="25" spans="2:28" ht="14.25" customHeight="1">
      <c r="B25" s="438" t="s">
        <v>56</v>
      </c>
      <c r="C25" s="439"/>
      <c r="D25" s="439"/>
      <c r="E25" s="437" t="s">
        <v>34</v>
      </c>
      <c r="F25" s="437"/>
      <c r="G25" s="216"/>
      <c r="H25" s="437" t="s">
        <v>34</v>
      </c>
      <c r="I25" s="437"/>
      <c r="J25" s="216"/>
      <c r="K25" s="437"/>
      <c r="L25" s="437"/>
      <c r="M25" s="216"/>
      <c r="N25" s="437"/>
      <c r="O25" s="437"/>
      <c r="P25" s="216"/>
      <c r="Q25" s="216"/>
      <c r="R25" s="437"/>
      <c r="S25" s="437"/>
      <c r="T25" s="216"/>
      <c r="U25" s="216"/>
      <c r="V25" s="216"/>
      <c r="W25" s="487"/>
      <c r="X25" s="487"/>
      <c r="Y25" s="216"/>
    </row>
    <row r="26" spans="2:28" ht="14.25" customHeight="1">
      <c r="B26" s="438" t="s">
        <v>57</v>
      </c>
      <c r="C26" s="439"/>
      <c r="D26" s="439"/>
      <c r="E26" s="437"/>
      <c r="F26" s="437"/>
      <c r="G26" s="216"/>
      <c r="H26" s="437"/>
      <c r="I26" s="437"/>
      <c r="J26" s="216"/>
      <c r="K26" s="437"/>
      <c r="L26" s="437"/>
      <c r="M26" s="216"/>
      <c r="N26" s="437"/>
      <c r="O26" s="437"/>
      <c r="P26" s="216"/>
      <c r="Q26" s="216"/>
      <c r="R26" s="437" t="s">
        <v>34</v>
      </c>
      <c r="S26" s="437"/>
      <c r="T26" s="216"/>
      <c r="U26" s="216"/>
      <c r="V26" s="216"/>
      <c r="W26" s="487"/>
      <c r="X26" s="487"/>
      <c r="Y26" s="216"/>
    </row>
    <row r="27" spans="2:28" ht="14.25" customHeight="1">
      <c r="B27" s="438" t="s">
        <v>58</v>
      </c>
      <c r="C27" s="439"/>
      <c r="D27" s="439"/>
      <c r="E27" s="437" t="s">
        <v>34</v>
      </c>
      <c r="F27" s="437"/>
      <c r="G27" s="216"/>
      <c r="H27" s="437" t="s">
        <v>34</v>
      </c>
      <c r="I27" s="437"/>
      <c r="J27" s="216"/>
      <c r="K27" s="437" t="s">
        <v>34</v>
      </c>
      <c r="L27" s="437"/>
      <c r="M27" s="216"/>
      <c r="N27" s="437"/>
      <c r="O27" s="437"/>
      <c r="P27" s="216"/>
      <c r="Q27" s="216"/>
      <c r="R27" s="437"/>
      <c r="S27" s="437"/>
      <c r="T27" s="216"/>
      <c r="U27" s="216"/>
      <c r="V27" s="216"/>
      <c r="W27" s="487"/>
      <c r="X27" s="487"/>
      <c r="Y27" s="216"/>
    </row>
    <row r="28" spans="2:28" ht="14.25" customHeight="1">
      <c r="B28" s="438" t="s">
        <v>59</v>
      </c>
      <c r="C28" s="439"/>
      <c r="D28" s="439"/>
      <c r="E28" s="437" t="s">
        <v>34</v>
      </c>
      <c r="F28" s="437"/>
      <c r="G28" s="216"/>
      <c r="H28" s="437"/>
      <c r="I28" s="437"/>
      <c r="J28" s="216"/>
      <c r="K28" s="437" t="s">
        <v>34</v>
      </c>
      <c r="L28" s="437"/>
      <c r="M28" s="216"/>
      <c r="N28" s="437"/>
      <c r="O28" s="437"/>
      <c r="P28" s="216"/>
      <c r="Q28" s="216"/>
      <c r="R28" s="437"/>
      <c r="S28" s="437"/>
      <c r="T28" s="216"/>
      <c r="U28" s="216"/>
      <c r="V28" s="216"/>
      <c r="W28" s="487"/>
      <c r="X28" s="487"/>
      <c r="Y28" s="216"/>
    </row>
    <row r="29" spans="2:28" ht="14.25" customHeight="1">
      <c r="B29" s="438" t="s">
        <v>60</v>
      </c>
      <c r="C29" s="439"/>
      <c r="D29" s="439"/>
      <c r="E29" s="437" t="s">
        <v>34</v>
      </c>
      <c r="F29" s="437"/>
      <c r="G29" s="216"/>
      <c r="H29" s="437" t="s">
        <v>34</v>
      </c>
      <c r="I29" s="437"/>
      <c r="J29" s="216"/>
      <c r="K29" s="437"/>
      <c r="L29" s="437"/>
      <c r="M29" s="216"/>
      <c r="N29" s="437"/>
      <c r="O29" s="437"/>
      <c r="P29" s="216"/>
      <c r="Q29" s="216"/>
      <c r="R29" s="437"/>
      <c r="S29" s="437"/>
      <c r="T29" s="216"/>
      <c r="U29" s="216"/>
      <c r="V29" s="216"/>
      <c r="W29" s="487"/>
      <c r="X29" s="487"/>
      <c r="Y29" s="216"/>
    </row>
    <row r="30" spans="2:28" ht="14.25" customHeight="1">
      <c r="B30" s="438" t="s">
        <v>669</v>
      </c>
      <c r="C30" s="439"/>
      <c r="D30" s="439"/>
      <c r="E30" s="437"/>
      <c r="F30" s="437"/>
      <c r="G30" s="216"/>
      <c r="H30" s="437"/>
      <c r="I30" s="437"/>
      <c r="J30" s="216"/>
      <c r="K30" s="437" t="s">
        <v>34</v>
      </c>
      <c r="L30" s="437"/>
      <c r="M30" s="216"/>
      <c r="N30" s="437"/>
      <c r="O30" s="437"/>
      <c r="P30" s="216"/>
      <c r="Q30" s="216"/>
      <c r="R30" s="437"/>
      <c r="S30" s="437"/>
      <c r="T30" s="216"/>
      <c r="U30" s="216"/>
      <c r="V30" s="216"/>
      <c r="W30" s="487"/>
      <c r="X30" s="487"/>
      <c r="Y30" s="216"/>
    </row>
    <row r="31" spans="2:28" ht="14.25" customHeight="1">
      <c r="B31" s="438" t="s">
        <v>788</v>
      </c>
      <c r="C31" s="439"/>
      <c r="D31" s="439"/>
      <c r="E31" s="437"/>
      <c r="F31" s="437"/>
      <c r="G31" s="216"/>
      <c r="H31" s="437"/>
      <c r="I31" s="437"/>
      <c r="J31" s="216"/>
      <c r="K31" s="437" t="s">
        <v>34</v>
      </c>
      <c r="L31" s="437"/>
      <c r="M31" s="216"/>
      <c r="N31" s="437"/>
      <c r="O31" s="437"/>
      <c r="P31" s="216"/>
      <c r="Q31" s="216"/>
      <c r="R31" s="437"/>
      <c r="S31" s="437"/>
      <c r="T31" s="216"/>
      <c r="U31" s="216"/>
      <c r="V31" s="216"/>
      <c r="W31" s="487"/>
      <c r="X31" s="487"/>
      <c r="Y31" s="216"/>
    </row>
    <row r="32" spans="2:28" ht="14.25" customHeight="1">
      <c r="B32" s="438" t="s">
        <v>787</v>
      </c>
      <c r="C32" s="439"/>
      <c r="D32" s="439"/>
      <c r="E32" s="437"/>
      <c r="F32" s="437"/>
      <c r="G32" s="216"/>
      <c r="H32" s="437"/>
      <c r="I32" s="437"/>
      <c r="J32" s="216"/>
      <c r="K32" s="437"/>
      <c r="L32" s="437"/>
      <c r="M32" s="216"/>
      <c r="N32" s="437"/>
      <c r="O32" s="437"/>
      <c r="P32" s="216"/>
      <c r="Q32" s="216"/>
      <c r="R32" s="437"/>
      <c r="S32" s="437"/>
      <c r="T32" s="216"/>
      <c r="U32" s="216"/>
      <c r="V32" s="216"/>
      <c r="W32" s="487" t="s">
        <v>34</v>
      </c>
      <c r="X32" s="487"/>
      <c r="Y32" s="216"/>
    </row>
    <row r="33" spans="2:25" ht="14.25" customHeight="1">
      <c r="B33" s="309" t="s">
        <v>865</v>
      </c>
      <c r="C33" s="310"/>
      <c r="D33" s="310"/>
      <c r="E33" s="437" t="s">
        <v>34</v>
      </c>
      <c r="F33" s="437"/>
      <c r="G33" s="216"/>
      <c r="H33" s="216"/>
      <c r="I33" s="216"/>
      <c r="J33" s="216"/>
      <c r="K33" s="216"/>
      <c r="L33" s="216"/>
      <c r="M33" s="216"/>
      <c r="N33" s="216"/>
      <c r="O33" s="216"/>
      <c r="P33" s="216"/>
      <c r="Q33" s="216"/>
      <c r="R33" s="216"/>
      <c r="S33" s="216"/>
      <c r="T33" s="216"/>
      <c r="U33" s="216"/>
      <c r="V33" s="216"/>
      <c r="W33" s="272"/>
      <c r="X33" s="272"/>
      <c r="Y33" s="216"/>
    </row>
    <row r="34" spans="2:25" ht="14.25" customHeight="1">
      <c r="B34" s="438" t="s">
        <v>830</v>
      </c>
      <c r="C34" s="439"/>
      <c r="D34" s="439"/>
      <c r="E34" s="437" t="s">
        <v>34</v>
      </c>
      <c r="F34" s="437"/>
      <c r="G34" s="216"/>
      <c r="H34" s="437" t="s">
        <v>34</v>
      </c>
      <c r="I34" s="437"/>
      <c r="J34" s="216"/>
      <c r="K34" s="437"/>
      <c r="L34" s="437"/>
      <c r="M34" s="216"/>
      <c r="N34" s="437"/>
      <c r="O34" s="437"/>
      <c r="P34" s="216"/>
      <c r="Q34" s="216"/>
      <c r="R34" s="437"/>
      <c r="S34" s="437"/>
      <c r="T34" s="216"/>
      <c r="U34" s="216"/>
      <c r="V34" s="216"/>
      <c r="W34" s="487"/>
      <c r="X34" s="487"/>
      <c r="Y34" s="216"/>
    </row>
    <row r="35" spans="2:25" ht="14.25" customHeight="1">
      <c r="B35" s="438" t="s">
        <v>629</v>
      </c>
      <c r="C35" s="439"/>
      <c r="D35" s="439"/>
      <c r="E35" s="437" t="s">
        <v>34</v>
      </c>
      <c r="F35" s="437"/>
      <c r="G35" s="216"/>
      <c r="H35" s="437"/>
      <c r="I35" s="437"/>
      <c r="J35" s="216"/>
      <c r="K35" s="437"/>
      <c r="L35" s="437"/>
      <c r="M35" s="216"/>
      <c r="N35" s="437"/>
      <c r="O35" s="437"/>
      <c r="P35" s="216"/>
      <c r="Q35" s="216"/>
      <c r="R35" s="437"/>
      <c r="S35" s="437"/>
      <c r="T35" s="216"/>
      <c r="U35" s="216"/>
      <c r="V35" s="216"/>
      <c r="W35" s="487"/>
      <c r="X35" s="487"/>
      <c r="Y35" s="216"/>
    </row>
    <row r="36" spans="2:25" ht="14.25" customHeight="1">
      <c r="B36" s="438" t="s">
        <v>61</v>
      </c>
      <c r="C36" s="439"/>
      <c r="D36" s="439"/>
      <c r="E36" s="437"/>
      <c r="F36" s="437"/>
      <c r="G36" s="216"/>
      <c r="H36" s="437"/>
      <c r="I36" s="437"/>
      <c r="J36" s="216"/>
      <c r="K36" s="437" t="s">
        <v>34</v>
      </c>
      <c r="L36" s="437"/>
      <c r="M36" s="216"/>
      <c r="N36" s="437" t="s">
        <v>34</v>
      </c>
      <c r="O36" s="437"/>
      <c r="P36" s="216"/>
      <c r="Q36" s="216"/>
      <c r="R36" s="437"/>
      <c r="S36" s="437"/>
      <c r="T36" s="216"/>
      <c r="U36" s="216"/>
      <c r="V36" s="216"/>
      <c r="W36" s="487"/>
      <c r="X36" s="487"/>
      <c r="Y36" s="216"/>
    </row>
    <row r="37" spans="2:25" ht="14.25" customHeight="1">
      <c r="B37" s="438" t="s">
        <v>512</v>
      </c>
      <c r="C37" s="439"/>
      <c r="D37" s="439"/>
      <c r="E37" s="216"/>
      <c r="F37" s="216"/>
      <c r="G37" s="216"/>
      <c r="H37" s="216"/>
      <c r="I37" s="216"/>
      <c r="J37" s="216"/>
      <c r="K37" s="437" t="s">
        <v>34</v>
      </c>
      <c r="L37" s="437"/>
      <c r="M37" s="216"/>
      <c r="N37" s="216"/>
      <c r="O37" s="216"/>
      <c r="P37" s="216"/>
      <c r="Q37" s="216"/>
      <c r="R37" s="216"/>
      <c r="S37" s="216"/>
      <c r="T37" s="216"/>
      <c r="U37" s="216"/>
      <c r="V37" s="216"/>
      <c r="W37" s="272"/>
      <c r="X37" s="272"/>
      <c r="Y37" s="216"/>
    </row>
    <row r="38" spans="2:25" ht="14.25" customHeight="1">
      <c r="B38" s="438" t="s">
        <v>648</v>
      </c>
      <c r="C38" s="439"/>
      <c r="D38" s="439"/>
      <c r="E38" s="437"/>
      <c r="F38" s="437"/>
      <c r="G38" s="216"/>
      <c r="H38" s="437"/>
      <c r="I38" s="437"/>
      <c r="J38" s="216"/>
      <c r="K38" s="437" t="s">
        <v>34</v>
      </c>
      <c r="L38" s="437"/>
      <c r="M38" s="216"/>
      <c r="N38" s="437" t="s">
        <v>34</v>
      </c>
      <c r="O38" s="437"/>
      <c r="P38" s="216"/>
      <c r="Q38" s="216"/>
      <c r="R38" s="437" t="s">
        <v>34</v>
      </c>
      <c r="S38" s="437"/>
      <c r="T38" s="216"/>
      <c r="U38" s="216"/>
      <c r="V38" s="216"/>
      <c r="W38" s="487"/>
      <c r="X38" s="487"/>
      <c r="Y38" s="216"/>
    </row>
    <row r="39" spans="2:25" ht="14.25" customHeight="1">
      <c r="B39" s="438" t="s">
        <v>1166</v>
      </c>
      <c r="C39" s="439"/>
      <c r="D39" s="439"/>
      <c r="E39" s="216"/>
      <c r="F39" s="216"/>
      <c r="G39" s="216"/>
      <c r="H39" s="216"/>
      <c r="I39" s="216"/>
      <c r="J39" s="216"/>
      <c r="K39" s="437" t="s">
        <v>34</v>
      </c>
      <c r="L39" s="437"/>
      <c r="M39" s="216"/>
      <c r="N39" s="216"/>
      <c r="O39" s="216"/>
      <c r="P39" s="216"/>
      <c r="Q39" s="216"/>
      <c r="R39" s="216"/>
      <c r="S39" s="216"/>
      <c r="T39" s="216"/>
      <c r="U39" s="216"/>
      <c r="V39" s="216"/>
      <c r="W39" s="272"/>
      <c r="X39" s="272"/>
      <c r="Y39" s="216"/>
    </row>
    <row r="40" spans="2:25" ht="14.25" customHeight="1">
      <c r="B40" s="438" t="s">
        <v>62</v>
      </c>
      <c r="C40" s="439"/>
      <c r="D40" s="439"/>
      <c r="E40" s="437" t="s">
        <v>34</v>
      </c>
      <c r="F40" s="437"/>
      <c r="G40" s="216"/>
      <c r="H40" s="437"/>
      <c r="I40" s="437"/>
      <c r="J40" s="216"/>
      <c r="K40" s="437"/>
      <c r="L40" s="437"/>
      <c r="M40" s="216"/>
      <c r="N40" s="437"/>
      <c r="O40" s="437"/>
      <c r="P40" s="216"/>
      <c r="Q40" s="216"/>
      <c r="R40" s="437"/>
      <c r="S40" s="437"/>
      <c r="T40" s="216"/>
      <c r="U40" s="216"/>
      <c r="V40" s="216"/>
      <c r="W40" s="487"/>
      <c r="X40" s="487"/>
      <c r="Y40" s="216"/>
    </row>
    <row r="41" spans="2:25" ht="14.25" customHeight="1">
      <c r="B41" s="438" t="s">
        <v>63</v>
      </c>
      <c r="C41" s="439"/>
      <c r="D41" s="439"/>
      <c r="E41" s="437" t="s">
        <v>34</v>
      </c>
      <c r="F41" s="437"/>
      <c r="G41" s="216"/>
      <c r="H41" s="437" t="s">
        <v>34</v>
      </c>
      <c r="I41" s="437"/>
      <c r="J41" s="216"/>
      <c r="K41" s="437" t="s">
        <v>34</v>
      </c>
      <c r="L41" s="437"/>
      <c r="M41" s="216"/>
      <c r="N41" s="437"/>
      <c r="O41" s="437"/>
      <c r="P41" s="216"/>
      <c r="Q41" s="216"/>
      <c r="R41" s="437"/>
      <c r="S41" s="437"/>
      <c r="T41" s="216"/>
      <c r="U41" s="216"/>
      <c r="V41" s="216"/>
      <c r="W41" s="487"/>
      <c r="X41" s="487"/>
      <c r="Y41" s="216"/>
    </row>
    <row r="42" spans="2:25" ht="14.25" customHeight="1">
      <c r="B42" s="438" t="s">
        <v>827</v>
      </c>
      <c r="C42" s="439"/>
      <c r="D42" s="439"/>
      <c r="E42" s="437" t="s">
        <v>34</v>
      </c>
      <c r="F42" s="437"/>
      <c r="G42" s="216"/>
      <c r="H42" s="437" t="s">
        <v>34</v>
      </c>
      <c r="I42" s="437"/>
      <c r="J42" s="216"/>
      <c r="K42" s="437"/>
      <c r="L42" s="437"/>
      <c r="M42" s="216"/>
      <c r="N42" s="437"/>
      <c r="O42" s="437"/>
      <c r="P42" s="216"/>
      <c r="Q42" s="216"/>
      <c r="R42" s="437"/>
      <c r="S42" s="437"/>
      <c r="T42" s="216"/>
      <c r="U42" s="216"/>
      <c r="V42" s="216"/>
      <c r="W42" s="487"/>
      <c r="X42" s="487"/>
      <c r="Y42" s="216"/>
    </row>
    <row r="43" spans="2:25" ht="14.25" customHeight="1">
      <c r="B43" s="438" t="s">
        <v>1163</v>
      </c>
      <c r="C43" s="439"/>
      <c r="D43" s="439"/>
      <c r="E43" s="437"/>
      <c r="F43" s="437"/>
      <c r="G43" s="216"/>
      <c r="H43" s="437"/>
      <c r="I43" s="437"/>
      <c r="J43" s="216"/>
      <c r="K43" s="437"/>
      <c r="L43" s="437"/>
      <c r="M43" s="216"/>
      <c r="N43" s="437"/>
      <c r="O43" s="437"/>
      <c r="P43" s="216"/>
      <c r="Q43" s="216"/>
      <c r="R43" s="437" t="s">
        <v>34</v>
      </c>
      <c r="S43" s="437"/>
      <c r="T43" s="216"/>
      <c r="U43" s="216"/>
      <c r="V43" s="216"/>
      <c r="W43" s="487"/>
      <c r="X43" s="487"/>
      <c r="Y43" s="206"/>
    </row>
    <row r="44" spans="2:25" ht="14.25" customHeight="1">
      <c r="B44" s="453" t="s">
        <v>871</v>
      </c>
      <c r="C44" s="454"/>
      <c r="D44" s="454"/>
      <c r="E44" s="440"/>
      <c r="F44" s="440"/>
      <c r="G44" s="271"/>
      <c r="H44" s="440"/>
      <c r="I44" s="440"/>
      <c r="J44" s="271"/>
      <c r="K44" s="440" t="s">
        <v>34</v>
      </c>
      <c r="L44" s="440"/>
      <c r="M44" s="271"/>
      <c r="N44" s="491" t="s">
        <v>34</v>
      </c>
      <c r="O44" s="491"/>
      <c r="P44" s="271"/>
      <c r="Q44" s="271"/>
      <c r="R44" s="440"/>
      <c r="S44" s="440"/>
      <c r="T44" s="271"/>
      <c r="U44" s="271"/>
      <c r="V44" s="271"/>
      <c r="W44" s="488"/>
      <c r="X44" s="488"/>
      <c r="Y44" s="271"/>
    </row>
    <row r="45" spans="2:25" ht="4.5" customHeight="1">
      <c r="B45" s="203"/>
      <c r="C45" s="204"/>
      <c r="D45" s="204"/>
      <c r="E45" s="206"/>
      <c r="F45" s="206"/>
      <c r="G45" s="206"/>
      <c r="H45" s="206"/>
      <c r="I45" s="206"/>
      <c r="J45" s="206"/>
      <c r="K45" s="206"/>
      <c r="L45" s="206"/>
      <c r="M45" s="206"/>
      <c r="N45" s="206"/>
      <c r="O45" s="206"/>
      <c r="P45" s="206"/>
      <c r="Q45" s="206"/>
      <c r="R45" s="206"/>
      <c r="S45" s="206"/>
      <c r="T45" s="206"/>
      <c r="U45" s="206"/>
      <c r="V45" s="206"/>
      <c r="W45" s="206"/>
      <c r="X45" s="206"/>
      <c r="Y45" s="206"/>
    </row>
    <row r="46" spans="2:25" ht="14.25" customHeight="1">
      <c r="B46" s="489" t="s">
        <v>507</v>
      </c>
      <c r="C46" s="490"/>
      <c r="D46" s="490"/>
      <c r="E46" s="452">
        <f>COUNTIF(E17:F44,"=X")</f>
        <v>13</v>
      </c>
      <c r="F46" s="452"/>
      <c r="G46" s="205"/>
      <c r="H46" s="452">
        <f>COUNTIF(H17:I44,"=X")</f>
        <v>8</v>
      </c>
      <c r="I46" s="452"/>
      <c r="J46" s="205"/>
      <c r="K46" s="452">
        <f>COUNTIF(K17:L44,"=X")</f>
        <v>12</v>
      </c>
      <c r="L46" s="452"/>
      <c r="M46" s="205"/>
      <c r="N46" s="452">
        <f>COUNTIF(N17:O44,"=X")</f>
        <v>3</v>
      </c>
      <c r="O46" s="452"/>
      <c r="P46" s="205"/>
      <c r="Q46" s="205"/>
      <c r="R46" s="452">
        <f>COUNTIF(R17:S44,"=X")</f>
        <v>4</v>
      </c>
      <c r="S46" s="452"/>
      <c r="T46" s="205"/>
      <c r="U46" s="205"/>
      <c r="V46" s="205"/>
      <c r="W46" s="452">
        <f>COUNTIF(W17:X44,"=X")</f>
        <v>1</v>
      </c>
      <c r="X46" s="452"/>
      <c r="Y46" s="205"/>
    </row>
    <row r="47" spans="2:25" ht="4.5" customHeight="1">
      <c r="B47" s="446"/>
      <c r="C47" s="447"/>
      <c r="D47" s="447"/>
      <c r="E47" s="448"/>
      <c r="F47" s="448"/>
      <c r="G47" s="207"/>
      <c r="H47" s="448"/>
      <c r="I47" s="448"/>
      <c r="J47" s="207"/>
      <c r="K47" s="448"/>
      <c r="L47" s="448"/>
      <c r="M47" s="207"/>
      <c r="N47" s="448"/>
      <c r="O47" s="448"/>
      <c r="P47" s="207"/>
      <c r="Q47" s="207"/>
      <c r="R47" s="448"/>
      <c r="S47" s="448"/>
      <c r="T47" s="207"/>
      <c r="U47" s="207"/>
      <c r="V47" s="207"/>
      <c r="W47" s="449"/>
      <c r="X47" s="449"/>
      <c r="Y47" s="218"/>
    </row>
    <row r="48" spans="2:25" ht="9.75" customHeight="1"/>
    <row r="49" spans="2:4">
      <c r="B49" s="16"/>
      <c r="C49" s="213"/>
      <c r="D49" s="213"/>
    </row>
  </sheetData>
  <mergeCells count="202">
    <mergeCell ref="E19:F19"/>
    <mergeCell ref="R38:S38"/>
    <mergeCell ref="E36:F36"/>
    <mergeCell ref="R41:S41"/>
    <mergeCell ref="W41:X41"/>
    <mergeCell ref="W32:X32"/>
    <mergeCell ref="R32:S32"/>
    <mergeCell ref="W31:X31"/>
    <mergeCell ref="R28:S28"/>
    <mergeCell ref="W28:X28"/>
    <mergeCell ref="W30:X30"/>
    <mergeCell ref="R30:S30"/>
    <mergeCell ref="R31:S31"/>
    <mergeCell ref="W35:X35"/>
    <mergeCell ref="R35:S35"/>
    <mergeCell ref="R36:S36"/>
    <mergeCell ref="K40:L40"/>
    <mergeCell ref="W34:X34"/>
    <mergeCell ref="H24:I24"/>
    <mergeCell ref="E25:F25"/>
    <mergeCell ref="H25:I25"/>
    <mergeCell ref="K25:L25"/>
    <mergeCell ref="W36:X36"/>
    <mergeCell ref="W38:X38"/>
    <mergeCell ref="B42:D42"/>
    <mergeCell ref="E42:F42"/>
    <mergeCell ref="B41:D41"/>
    <mergeCell ref="B40:D40"/>
    <mergeCell ref="B38:D38"/>
    <mergeCell ref="B43:D43"/>
    <mergeCell ref="E43:F43"/>
    <mergeCell ref="E41:F41"/>
    <mergeCell ref="N44:O44"/>
    <mergeCell ref="N40:O40"/>
    <mergeCell ref="H41:I41"/>
    <mergeCell ref="K41:L41"/>
    <mergeCell ref="H42:I42"/>
    <mergeCell ref="K42:L42"/>
    <mergeCell ref="N42:O42"/>
    <mergeCell ref="N38:O38"/>
    <mergeCell ref="H43:I43"/>
    <mergeCell ref="K43:L43"/>
    <mergeCell ref="N43:O43"/>
    <mergeCell ref="N41:O41"/>
    <mergeCell ref="B39:D39"/>
    <mergeCell ref="K39:L39"/>
    <mergeCell ref="B47:D47"/>
    <mergeCell ref="E47:F47"/>
    <mergeCell ref="H47:I47"/>
    <mergeCell ref="K47:L47"/>
    <mergeCell ref="B44:D44"/>
    <mergeCell ref="B46:D46"/>
    <mergeCell ref="E46:F46"/>
    <mergeCell ref="H46:I46"/>
    <mergeCell ref="K46:L46"/>
    <mergeCell ref="E44:F44"/>
    <mergeCell ref="H44:I44"/>
    <mergeCell ref="K44:L44"/>
    <mergeCell ref="N46:O46"/>
    <mergeCell ref="R46:S46"/>
    <mergeCell ref="W46:X46"/>
    <mergeCell ref="R34:S34"/>
    <mergeCell ref="N47:O47"/>
    <mergeCell ref="R47:S47"/>
    <mergeCell ref="W47:X47"/>
    <mergeCell ref="E40:F40"/>
    <mergeCell ref="H40:I40"/>
    <mergeCell ref="E38:F38"/>
    <mergeCell ref="H38:I38"/>
    <mergeCell ref="K38:L38"/>
    <mergeCell ref="R44:S44"/>
    <mergeCell ref="W40:X40"/>
    <mergeCell ref="R40:S40"/>
    <mergeCell ref="W44:X44"/>
    <mergeCell ref="R42:S42"/>
    <mergeCell ref="W42:X42"/>
    <mergeCell ref="R43:S43"/>
    <mergeCell ref="W43:X43"/>
    <mergeCell ref="R20:S20"/>
    <mergeCell ref="W26:X26"/>
    <mergeCell ref="R17:S17"/>
    <mergeCell ref="W17:X17"/>
    <mergeCell ref="R18:S18"/>
    <mergeCell ref="W27:X27"/>
    <mergeCell ref="R27:S27"/>
    <mergeCell ref="R25:S25"/>
    <mergeCell ref="W25:X25"/>
    <mergeCell ref="W20:X20"/>
    <mergeCell ref="R22:S22"/>
    <mergeCell ref="R23:S23"/>
    <mergeCell ref="W18:X18"/>
    <mergeCell ref="R24:S24"/>
    <mergeCell ref="W22:X22"/>
    <mergeCell ref="W29:X29"/>
    <mergeCell ref="N26:O26"/>
    <mergeCell ref="R26:S26"/>
    <mergeCell ref="N23:O23"/>
    <mergeCell ref="W23:X23"/>
    <mergeCell ref="W24:X24"/>
    <mergeCell ref="K29:L29"/>
    <mergeCell ref="N29:O29"/>
    <mergeCell ref="N25:O25"/>
    <mergeCell ref="R29:S29"/>
    <mergeCell ref="K28:L28"/>
    <mergeCell ref="N28:O28"/>
    <mergeCell ref="N24:O24"/>
    <mergeCell ref="E31:F31"/>
    <mergeCell ref="H22:I22"/>
    <mergeCell ref="B4:D12"/>
    <mergeCell ref="E6:O6"/>
    <mergeCell ref="E7:O7"/>
    <mergeCell ref="E8:O8"/>
    <mergeCell ref="E9:O9"/>
    <mergeCell ref="E15:F15"/>
    <mergeCell ref="H15:I15"/>
    <mergeCell ref="K15:L15"/>
    <mergeCell ref="N15:O15"/>
    <mergeCell ref="E4:Y4"/>
    <mergeCell ref="E5:Y5"/>
    <mergeCell ref="E10:I10"/>
    <mergeCell ref="K10:X10"/>
    <mergeCell ref="E11:I11"/>
    <mergeCell ref="K11:Y11"/>
    <mergeCell ref="Q6:T9"/>
    <mergeCell ref="V6:Y9"/>
    <mergeCell ref="R15:S15"/>
    <mergeCell ref="W15:X15"/>
    <mergeCell ref="E17:F17"/>
    <mergeCell ref="H17:I17"/>
    <mergeCell ref="N18:O18"/>
    <mergeCell ref="K30:L30"/>
    <mergeCell ref="E35:F35"/>
    <mergeCell ref="N17:O17"/>
    <mergeCell ref="B17:D17"/>
    <mergeCell ref="K17:L17"/>
    <mergeCell ref="E18:F18"/>
    <mergeCell ref="H18:I18"/>
    <mergeCell ref="K18:L18"/>
    <mergeCell ref="B18:D18"/>
    <mergeCell ref="B24:D24"/>
    <mergeCell ref="K20:L20"/>
    <mergeCell ref="N20:O20"/>
    <mergeCell ref="E20:F20"/>
    <mergeCell ref="H20:I20"/>
    <mergeCell ref="B23:D23"/>
    <mergeCell ref="E23:F23"/>
    <mergeCell ref="H23:I23"/>
    <mergeCell ref="K23:L23"/>
    <mergeCell ref="B22:D22"/>
    <mergeCell ref="N22:O22"/>
    <mergeCell ref="B21:D21"/>
    <mergeCell ref="B20:D20"/>
    <mergeCell ref="E28:F28"/>
    <mergeCell ref="H28:I28"/>
    <mergeCell ref="E21:F21"/>
    <mergeCell ref="B34:D34"/>
    <mergeCell ref="E34:F34"/>
    <mergeCell ref="H34:I34"/>
    <mergeCell ref="K34:L34"/>
    <mergeCell ref="E27:F27"/>
    <mergeCell ref="H27:I27"/>
    <mergeCell ref="K27:L27"/>
    <mergeCell ref="E24:F24"/>
    <mergeCell ref="K22:L22"/>
    <mergeCell ref="B26:D26"/>
    <mergeCell ref="B27:D27"/>
    <mergeCell ref="B32:D32"/>
    <mergeCell ref="B28:D28"/>
    <mergeCell ref="E26:F26"/>
    <mergeCell ref="E22:F22"/>
    <mergeCell ref="B25:D25"/>
    <mergeCell ref="E30:F30"/>
    <mergeCell ref="H30:I30"/>
    <mergeCell ref="K31:L31"/>
    <mergeCell ref="E33:F33"/>
    <mergeCell ref="H29:I29"/>
    <mergeCell ref="K24:L24"/>
    <mergeCell ref="H31:I31"/>
    <mergeCell ref="B37:D37"/>
    <mergeCell ref="K37:L37"/>
    <mergeCell ref="B36:D36"/>
    <mergeCell ref="B35:D35"/>
    <mergeCell ref="K26:L26"/>
    <mergeCell ref="N36:O36"/>
    <mergeCell ref="B29:D29"/>
    <mergeCell ref="B30:D30"/>
    <mergeCell ref="E32:F32"/>
    <mergeCell ref="H32:I32"/>
    <mergeCell ref="K32:L32"/>
    <mergeCell ref="E29:F29"/>
    <mergeCell ref="B31:D31"/>
    <mergeCell ref="H26:I26"/>
    <mergeCell ref="H35:I35"/>
    <mergeCell ref="K35:L35"/>
    <mergeCell ref="N35:O35"/>
    <mergeCell ref="N27:O27"/>
    <mergeCell ref="N31:O31"/>
    <mergeCell ref="N32:O32"/>
    <mergeCell ref="H36:I36"/>
    <mergeCell ref="K36:L36"/>
    <mergeCell ref="N30:O30"/>
    <mergeCell ref="N34:O34"/>
  </mergeCells>
  <printOptions horizontalCentered="1"/>
  <pageMargins left="0" right="0" top="0" bottom="0"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74"/>
  <sheetViews>
    <sheetView zoomScaleNormal="100" workbookViewId="0"/>
  </sheetViews>
  <sheetFormatPr defaultColWidth="9.109375" defaultRowHeight="13.8"/>
  <cols>
    <col min="1" max="1" width="0.88671875" style="11" customWidth="1"/>
    <col min="2" max="2" width="1.88671875" style="11" customWidth="1"/>
    <col min="3" max="3" width="4.33203125" style="11" customWidth="1"/>
    <col min="4" max="4" width="1.33203125" style="11" customWidth="1"/>
    <col min="5" max="5" width="8.109375" style="11" customWidth="1"/>
    <col min="6" max="6" width="2.44140625" style="11" customWidth="1"/>
    <col min="7" max="7" width="1.33203125" style="11" customWidth="1"/>
    <col min="8" max="8" width="8.109375" style="11" customWidth="1"/>
    <col min="9" max="10" width="1.33203125" style="11" customWidth="1"/>
    <col min="11" max="11" width="9" style="11" customWidth="1"/>
    <col min="12" max="12" width="1.33203125" style="11" customWidth="1"/>
    <col min="13" max="13" width="1.6640625" style="11" customWidth="1"/>
    <col min="14" max="14" width="8.88671875" style="11" customWidth="1"/>
    <col min="15" max="16" width="1.6640625" style="11" customWidth="1"/>
    <col min="17" max="17" width="8.88671875" style="11" customWidth="1"/>
    <col min="18" max="19" width="1.33203125" style="11" customWidth="1"/>
    <col min="20" max="20" width="7.5546875" style="11" customWidth="1"/>
    <col min="21" max="22" width="1.33203125" style="11" customWidth="1"/>
    <col min="23" max="23" width="8.5546875" style="11" customWidth="1"/>
    <col min="24" max="25" width="1.33203125" style="11" customWidth="1"/>
    <col min="26" max="26" width="8.44140625" style="11" customWidth="1"/>
    <col min="27" max="28" width="1.33203125" style="11" customWidth="1"/>
    <col min="29" max="29" width="8.5546875" style="11" customWidth="1"/>
    <col min="30" max="30" width="1.33203125" style="11" customWidth="1"/>
    <col min="31" max="16384" width="9.109375" style="11"/>
  </cols>
  <sheetData>
    <row r="1" spans="1:30">
      <c r="A1" s="43"/>
      <c r="B1" s="10" t="s">
        <v>1199</v>
      </c>
    </row>
    <row r="2" spans="1:30">
      <c r="B2" s="156" t="s">
        <v>1200</v>
      </c>
    </row>
    <row r="3" spans="1:30" ht="6.6" customHeight="1">
      <c r="B3" s="13"/>
      <c r="C3" s="13"/>
      <c r="D3" s="13"/>
      <c r="E3" s="13"/>
      <c r="F3" s="13"/>
      <c r="G3" s="13"/>
      <c r="H3" s="13"/>
      <c r="I3" s="13"/>
      <c r="J3" s="13"/>
      <c r="K3" s="13"/>
      <c r="L3" s="13"/>
      <c r="N3" s="13"/>
      <c r="O3" s="13"/>
      <c r="P3" s="13"/>
      <c r="Q3" s="13"/>
      <c r="R3" s="13"/>
      <c r="S3" s="13"/>
      <c r="T3" s="13"/>
      <c r="U3" s="13"/>
      <c r="V3" s="13"/>
      <c r="W3" s="13"/>
      <c r="X3" s="13"/>
      <c r="Y3" s="13"/>
      <c r="Z3" s="13"/>
      <c r="AA3" s="13"/>
      <c r="AB3" s="13"/>
      <c r="AC3" s="13"/>
      <c r="AD3" s="13"/>
    </row>
    <row r="4" spans="1:30" ht="14.25" customHeight="1">
      <c r="B4" s="503" t="s">
        <v>64</v>
      </c>
      <c r="C4" s="503"/>
      <c r="D4" s="503"/>
      <c r="E4" s="504" t="s">
        <v>65</v>
      </c>
      <c r="F4" s="504"/>
      <c r="G4" s="504"/>
      <c r="H4" s="504"/>
      <c r="I4" s="504"/>
      <c r="J4" s="504"/>
      <c r="K4" s="504"/>
      <c r="L4" s="504"/>
      <c r="M4" s="504"/>
      <c r="N4" s="504"/>
      <c r="O4" s="504"/>
      <c r="P4" s="504"/>
      <c r="Q4" s="504"/>
      <c r="R4" s="504"/>
      <c r="S4" s="504"/>
      <c r="T4" s="504"/>
      <c r="U4" s="504"/>
      <c r="V4" s="504"/>
      <c r="W4" s="504"/>
      <c r="X4" s="504"/>
      <c r="Y4" s="504"/>
      <c r="Z4" s="505"/>
      <c r="AA4" s="505"/>
      <c r="AB4" s="505"/>
      <c r="AC4" s="505"/>
      <c r="AD4" s="505"/>
    </row>
    <row r="5" spans="1:30" ht="14.25" customHeight="1">
      <c r="B5" s="497"/>
      <c r="C5" s="497"/>
      <c r="D5" s="497"/>
      <c r="E5" s="493" t="s">
        <v>66</v>
      </c>
      <c r="F5" s="494"/>
      <c r="G5" s="494"/>
      <c r="H5" s="494"/>
      <c r="I5" s="494"/>
      <c r="J5" s="494"/>
      <c r="K5" s="494"/>
      <c r="L5" s="494"/>
      <c r="M5" s="105"/>
      <c r="N5" s="504" t="s">
        <v>67</v>
      </c>
      <c r="O5" s="504"/>
      <c r="P5" s="504"/>
      <c r="Q5" s="504"/>
      <c r="R5" s="504"/>
      <c r="S5" s="59"/>
      <c r="T5" s="193" t="s">
        <v>68</v>
      </c>
      <c r="U5" s="155"/>
      <c r="V5" s="155"/>
      <c r="W5" s="493" t="s">
        <v>69</v>
      </c>
      <c r="X5" s="494"/>
      <c r="Y5" s="494"/>
      <c r="Z5" s="494"/>
      <c r="AA5" s="494"/>
      <c r="AB5" s="494"/>
      <c r="AC5" s="494"/>
      <c r="AD5" s="494"/>
    </row>
    <row r="6" spans="1:30" ht="48" customHeight="1">
      <c r="B6" s="497"/>
      <c r="C6" s="497"/>
      <c r="D6" s="497"/>
      <c r="E6" s="492" t="s">
        <v>70</v>
      </c>
      <c r="F6" s="492"/>
      <c r="G6" s="116"/>
      <c r="H6" s="492" t="s">
        <v>71</v>
      </c>
      <c r="I6" s="492"/>
      <c r="J6" s="116"/>
      <c r="K6" s="492" t="s">
        <v>72</v>
      </c>
      <c r="L6" s="492"/>
      <c r="M6" s="116"/>
      <c r="N6" s="492" t="s">
        <v>70</v>
      </c>
      <c r="O6" s="492"/>
      <c r="P6" s="116"/>
      <c r="Q6" s="492" t="s">
        <v>71</v>
      </c>
      <c r="R6" s="492"/>
      <c r="S6" s="116"/>
      <c r="T6" s="155"/>
      <c r="U6" s="155"/>
      <c r="V6" s="188"/>
      <c r="W6" s="492" t="s">
        <v>73</v>
      </c>
      <c r="X6" s="484"/>
      <c r="Y6" s="92"/>
      <c r="Z6" s="492" t="s">
        <v>74</v>
      </c>
      <c r="AA6" s="484"/>
      <c r="AB6" s="92"/>
      <c r="AC6" s="492" t="s">
        <v>75</v>
      </c>
      <c r="AD6" s="484"/>
    </row>
    <row r="7" spans="1:30" ht="14.25" customHeight="1">
      <c r="B7" s="497"/>
      <c r="C7" s="497"/>
      <c r="D7" s="497"/>
      <c r="E7" s="503" t="s">
        <v>1216</v>
      </c>
      <c r="F7" s="503"/>
      <c r="G7" s="497"/>
      <c r="H7" s="503"/>
      <c r="I7" s="503"/>
      <c r="J7" s="497"/>
      <c r="K7" s="503"/>
      <c r="L7" s="503"/>
      <c r="M7" s="497"/>
      <c r="N7" s="503"/>
      <c r="O7" s="503"/>
      <c r="P7" s="497"/>
      <c r="Q7" s="503"/>
      <c r="R7" s="503"/>
      <c r="S7" s="497"/>
      <c r="T7" s="497"/>
      <c r="U7" s="497"/>
      <c r="V7" s="497"/>
      <c r="W7" s="503"/>
      <c r="X7" s="503"/>
      <c r="Y7" s="497"/>
      <c r="Z7" s="506"/>
      <c r="AA7" s="506"/>
      <c r="AB7" s="502"/>
      <c r="AC7" s="506"/>
      <c r="AD7" s="506"/>
    </row>
    <row r="8" spans="1:30" ht="4.5" customHeight="1">
      <c r="B8" s="42"/>
      <c r="C8" s="42"/>
      <c r="D8" s="42"/>
      <c r="E8" s="59"/>
      <c r="F8" s="59"/>
      <c r="G8" s="59"/>
      <c r="H8" s="59"/>
      <c r="I8" s="59"/>
      <c r="J8" s="59"/>
      <c r="K8" s="59"/>
      <c r="L8" s="59"/>
      <c r="M8" s="59"/>
      <c r="N8" s="59"/>
      <c r="O8" s="59"/>
      <c r="P8" s="59"/>
      <c r="Q8" s="59"/>
      <c r="R8" s="59"/>
      <c r="S8" s="59"/>
      <c r="T8" s="59"/>
      <c r="U8" s="59"/>
      <c r="V8" s="59"/>
      <c r="W8" s="59"/>
      <c r="X8" s="59"/>
      <c r="Y8" s="59"/>
      <c r="Z8" s="106"/>
      <c r="AA8" s="106"/>
      <c r="AB8" s="106"/>
      <c r="AC8" s="106"/>
      <c r="AD8" s="106"/>
    </row>
    <row r="9" spans="1:30" ht="13.5" customHeight="1">
      <c r="B9" s="497">
        <v>1</v>
      </c>
      <c r="C9" s="502"/>
      <c r="D9" s="502"/>
      <c r="E9" s="497">
        <v>2</v>
      </c>
      <c r="F9" s="497"/>
      <c r="G9" s="42"/>
      <c r="H9" s="497">
        <v>3</v>
      </c>
      <c r="I9" s="497"/>
      <c r="J9" s="42"/>
      <c r="K9" s="497">
        <v>4</v>
      </c>
      <c r="L9" s="497"/>
      <c r="M9" s="497"/>
      <c r="N9" s="497">
        <v>5</v>
      </c>
      <c r="O9" s="497"/>
      <c r="P9" s="42"/>
      <c r="Q9" s="497">
        <v>6</v>
      </c>
      <c r="R9" s="497"/>
      <c r="S9" s="42"/>
      <c r="T9" s="497">
        <v>7</v>
      </c>
      <c r="U9" s="497"/>
      <c r="V9" s="42"/>
      <c r="W9" s="497">
        <v>8</v>
      </c>
      <c r="X9" s="497"/>
      <c r="Y9" s="42"/>
      <c r="Z9" s="497">
        <v>9</v>
      </c>
      <c r="AA9" s="497"/>
      <c r="AB9" s="42"/>
      <c r="AC9" s="497">
        <v>10</v>
      </c>
      <c r="AD9" s="497"/>
    </row>
    <row r="10" spans="1:30" ht="4.5" customHeight="1">
      <c r="B10" s="13"/>
      <c r="C10" s="107"/>
      <c r="D10" s="108"/>
      <c r="E10" s="107"/>
      <c r="F10" s="108"/>
      <c r="G10" s="108"/>
      <c r="H10" s="80"/>
      <c r="I10" s="108"/>
      <c r="J10" s="108"/>
      <c r="K10" s="107"/>
      <c r="L10" s="107"/>
      <c r="M10" s="108"/>
      <c r="N10" s="107"/>
      <c r="O10" s="108"/>
      <c r="P10" s="108"/>
      <c r="Q10" s="107"/>
      <c r="R10" s="108"/>
      <c r="S10" s="108"/>
      <c r="T10" s="107"/>
      <c r="U10" s="109"/>
      <c r="V10" s="109"/>
      <c r="W10" s="80"/>
      <c r="X10" s="109"/>
      <c r="Y10" s="109"/>
      <c r="Z10" s="80"/>
      <c r="AA10" s="80"/>
      <c r="AB10" s="80"/>
      <c r="AC10" s="80"/>
      <c r="AD10" s="109"/>
    </row>
    <row r="11" spans="1:30" ht="10.5" customHeight="1">
      <c r="C11" s="17">
        <v>1856</v>
      </c>
      <c r="D11" s="52"/>
      <c r="E11" s="16">
        <v>32</v>
      </c>
      <c r="F11" s="52"/>
      <c r="G11" s="52"/>
      <c r="H11" s="75" t="s">
        <v>77</v>
      </c>
      <c r="I11" s="52"/>
      <c r="J11" s="52"/>
      <c r="K11" s="75" t="s">
        <v>77</v>
      </c>
      <c r="L11" s="75"/>
      <c r="M11" s="52"/>
      <c r="N11" s="16">
        <v>34</v>
      </c>
      <c r="O11" s="52"/>
      <c r="P11" s="52"/>
      <c r="Q11" s="75" t="s">
        <v>77</v>
      </c>
      <c r="R11" s="52"/>
      <c r="S11" s="52"/>
      <c r="T11" s="16">
        <v>66</v>
      </c>
      <c r="U11" s="78"/>
      <c r="V11" s="78"/>
      <c r="W11" s="75" t="s">
        <v>77</v>
      </c>
      <c r="X11" s="78"/>
      <c r="Y11" s="78"/>
      <c r="Z11" s="75" t="s">
        <v>77</v>
      </c>
      <c r="AA11" s="42"/>
      <c r="AB11" s="42"/>
      <c r="AC11" s="75" t="s">
        <v>77</v>
      </c>
      <c r="AD11" s="78"/>
    </row>
    <row r="12" spans="1:30" ht="10.5" customHeight="1">
      <c r="C12" s="17">
        <v>1860</v>
      </c>
      <c r="D12" s="52"/>
      <c r="E12" s="16">
        <v>303</v>
      </c>
      <c r="F12" s="52"/>
      <c r="G12" s="52"/>
      <c r="H12" s="75" t="s">
        <v>77</v>
      </c>
      <c r="I12" s="52"/>
      <c r="J12" s="52"/>
      <c r="K12" s="75" t="s">
        <v>77</v>
      </c>
      <c r="L12" s="75"/>
      <c r="M12" s="52"/>
      <c r="N12" s="16">
        <v>176</v>
      </c>
      <c r="O12" s="52"/>
      <c r="P12" s="52"/>
      <c r="Q12" s="16">
        <v>48</v>
      </c>
      <c r="R12" s="52"/>
      <c r="S12" s="52"/>
      <c r="T12" s="16">
        <v>527</v>
      </c>
      <c r="U12" s="78"/>
      <c r="V12" s="78"/>
      <c r="W12" s="75" t="s">
        <v>77</v>
      </c>
      <c r="X12" s="78"/>
      <c r="Y12" s="78"/>
      <c r="Z12" s="75" t="s">
        <v>77</v>
      </c>
      <c r="AA12" s="42"/>
      <c r="AB12" s="42"/>
      <c r="AC12" s="75" t="s">
        <v>77</v>
      </c>
      <c r="AD12" s="78"/>
    </row>
    <row r="13" spans="1:30" ht="10.5" customHeight="1">
      <c r="C13" s="17">
        <v>1870</v>
      </c>
      <c r="D13" s="52"/>
      <c r="E13" s="28">
        <v>1118</v>
      </c>
      <c r="F13" s="52"/>
      <c r="G13" s="52"/>
      <c r="H13" s="75" t="s">
        <v>77</v>
      </c>
      <c r="I13" s="52"/>
      <c r="J13" s="52"/>
      <c r="K13" s="75" t="s">
        <v>77</v>
      </c>
      <c r="L13" s="75"/>
      <c r="M13" s="52"/>
      <c r="N13" s="16">
        <v>376</v>
      </c>
      <c r="O13" s="52"/>
      <c r="P13" s="52"/>
      <c r="Q13" s="16">
        <v>233</v>
      </c>
      <c r="R13" s="52"/>
      <c r="S13" s="52"/>
      <c r="T13" s="28">
        <v>1727</v>
      </c>
      <c r="U13" s="78"/>
      <c r="V13" s="78"/>
      <c r="W13" s="75" t="s">
        <v>77</v>
      </c>
      <c r="X13" s="78"/>
      <c r="Y13" s="78"/>
      <c r="Z13" s="75" t="s">
        <v>77</v>
      </c>
      <c r="AA13" s="42"/>
      <c r="AB13" s="42"/>
      <c r="AC13" s="75" t="s">
        <v>77</v>
      </c>
      <c r="AD13" s="78"/>
    </row>
    <row r="14" spans="1:30" ht="10.5" customHeight="1">
      <c r="C14" s="17">
        <v>1880</v>
      </c>
      <c r="D14" s="52"/>
      <c r="E14" s="28">
        <v>1956</v>
      </c>
      <c r="F14" s="52"/>
      <c r="G14" s="52"/>
      <c r="H14" s="75" t="s">
        <v>77</v>
      </c>
      <c r="I14" s="52"/>
      <c r="J14" s="52"/>
      <c r="K14" s="16">
        <v>96</v>
      </c>
      <c r="L14" s="16"/>
      <c r="M14" s="52"/>
      <c r="N14" s="28">
        <v>2686</v>
      </c>
      <c r="O14" s="52"/>
      <c r="P14" s="52"/>
      <c r="Q14" s="28">
        <v>1234</v>
      </c>
      <c r="R14" s="52"/>
      <c r="S14" s="52"/>
      <c r="T14" s="28">
        <v>5876</v>
      </c>
      <c r="U14" s="78"/>
      <c r="V14" s="78"/>
      <c r="W14" s="75" t="s">
        <v>77</v>
      </c>
      <c r="X14" s="78"/>
      <c r="Y14" s="78"/>
      <c r="Z14" s="75" t="s">
        <v>77</v>
      </c>
      <c r="AA14" s="42"/>
      <c r="AB14" s="42"/>
      <c r="AC14" s="75" t="s">
        <v>77</v>
      </c>
      <c r="AD14" s="78"/>
    </row>
    <row r="15" spans="1:30" ht="10.5" customHeight="1">
      <c r="C15" s="17">
        <v>1890</v>
      </c>
      <c r="D15" s="52"/>
      <c r="E15" s="28">
        <v>2613</v>
      </c>
      <c r="F15" s="52"/>
      <c r="G15" s="52"/>
      <c r="H15" s="75" t="s">
        <v>77</v>
      </c>
      <c r="I15" s="52"/>
      <c r="J15" s="52"/>
      <c r="K15" s="16">
        <v>184</v>
      </c>
      <c r="L15" s="16"/>
      <c r="M15" s="52"/>
      <c r="N15" s="28">
        <v>3730</v>
      </c>
      <c r="O15" s="52"/>
      <c r="P15" s="52"/>
      <c r="Q15" s="28">
        <v>1675</v>
      </c>
      <c r="R15" s="52"/>
      <c r="S15" s="52"/>
      <c r="T15" s="28">
        <v>8018</v>
      </c>
      <c r="U15" s="78"/>
      <c r="V15" s="78"/>
      <c r="W15" s="75" t="s">
        <v>77</v>
      </c>
      <c r="X15" s="78"/>
      <c r="Y15" s="78"/>
      <c r="Z15" s="75" t="s">
        <v>77</v>
      </c>
      <c r="AA15" s="42"/>
      <c r="AB15" s="42"/>
      <c r="AC15" s="75" t="s">
        <v>77</v>
      </c>
      <c r="AD15" s="78"/>
    </row>
    <row r="16" spans="1:30" ht="6.6" customHeight="1">
      <c r="C16" s="17"/>
      <c r="D16" s="52"/>
      <c r="E16" s="16"/>
      <c r="F16" s="52"/>
      <c r="G16" s="52"/>
      <c r="H16" s="17"/>
      <c r="I16" s="52"/>
      <c r="J16" s="52"/>
      <c r="K16" s="16"/>
      <c r="L16" s="16"/>
      <c r="M16" s="52"/>
      <c r="N16" s="16"/>
      <c r="O16" s="52"/>
      <c r="P16" s="52"/>
      <c r="Q16" s="16"/>
      <c r="R16" s="52"/>
      <c r="S16" s="52"/>
      <c r="T16" s="16"/>
      <c r="U16" s="78"/>
      <c r="V16" s="78"/>
      <c r="W16" s="17"/>
      <c r="X16" s="78"/>
      <c r="Y16" s="78"/>
      <c r="Z16" s="17"/>
      <c r="AA16" s="42"/>
      <c r="AB16" s="42"/>
      <c r="AC16" s="17"/>
      <c r="AD16" s="78"/>
    </row>
    <row r="17" spans="3:31" ht="10.5" customHeight="1">
      <c r="C17" s="17">
        <v>1900</v>
      </c>
      <c r="D17" s="52"/>
      <c r="E17" s="28">
        <v>3850</v>
      </c>
      <c r="F17" s="52"/>
      <c r="G17" s="52"/>
      <c r="H17" s="75" t="s">
        <v>77</v>
      </c>
      <c r="I17" s="52"/>
      <c r="J17" s="52"/>
      <c r="K17" s="16">
        <v>796</v>
      </c>
      <c r="L17" s="16"/>
      <c r="M17" s="52"/>
      <c r="N17" s="28">
        <v>4832</v>
      </c>
      <c r="O17" s="52"/>
      <c r="P17" s="52"/>
      <c r="Q17" s="28">
        <v>2621</v>
      </c>
      <c r="R17" s="52"/>
      <c r="S17" s="52"/>
      <c r="T17" s="28">
        <v>11303</v>
      </c>
      <c r="U17" s="78"/>
      <c r="V17" s="78"/>
      <c r="W17" s="16">
        <v>11</v>
      </c>
      <c r="X17" s="78"/>
      <c r="Y17" s="78"/>
      <c r="Z17" s="17" t="s">
        <v>78</v>
      </c>
      <c r="AA17" s="42"/>
      <c r="AB17" s="42"/>
      <c r="AC17" s="75" t="s">
        <v>77</v>
      </c>
      <c r="AD17" s="78"/>
    </row>
    <row r="18" spans="3:31" ht="10.5" customHeight="1">
      <c r="C18" s="17">
        <v>1910</v>
      </c>
      <c r="D18" s="52"/>
      <c r="E18" s="28">
        <v>4418</v>
      </c>
      <c r="F18" s="52"/>
      <c r="G18" s="52"/>
      <c r="H18" s="75" t="s">
        <v>77</v>
      </c>
      <c r="I18" s="52"/>
      <c r="J18" s="52"/>
      <c r="K18" s="16">
        <v>876</v>
      </c>
      <c r="L18" s="16"/>
      <c r="M18" s="52"/>
      <c r="N18" s="28">
        <v>6133</v>
      </c>
      <c r="O18" s="52"/>
      <c r="P18" s="52"/>
      <c r="Q18" s="28">
        <v>3278</v>
      </c>
      <c r="R18" s="52"/>
      <c r="S18" s="52"/>
      <c r="T18" s="28">
        <v>13829</v>
      </c>
      <c r="U18" s="78"/>
      <c r="V18" s="78"/>
      <c r="W18" s="16">
        <v>31</v>
      </c>
      <c r="X18" s="78"/>
      <c r="Y18" s="78"/>
      <c r="Z18" s="17" t="s">
        <v>78</v>
      </c>
      <c r="AA18" s="17"/>
      <c r="AB18" s="17"/>
      <c r="AC18" s="75" t="s">
        <v>77</v>
      </c>
      <c r="AD18" s="78"/>
    </row>
    <row r="19" spans="3:31" ht="10.5" customHeight="1">
      <c r="C19" s="17">
        <v>1920</v>
      </c>
      <c r="D19" s="52"/>
      <c r="E19" s="28">
        <v>5506</v>
      </c>
      <c r="F19" s="52"/>
      <c r="G19" s="52"/>
      <c r="H19" s="75" t="s">
        <v>77</v>
      </c>
      <c r="I19" s="52"/>
      <c r="J19" s="52"/>
      <c r="K19" s="28">
        <v>1310</v>
      </c>
      <c r="L19" s="28"/>
      <c r="M19" s="52"/>
      <c r="N19" s="28">
        <v>6081</v>
      </c>
      <c r="O19" s="52"/>
      <c r="P19" s="52"/>
      <c r="Q19" s="28">
        <v>3573</v>
      </c>
      <c r="R19" s="52"/>
      <c r="S19" s="52"/>
      <c r="T19" s="28">
        <v>15160</v>
      </c>
      <c r="U19" s="78"/>
      <c r="V19" s="78"/>
      <c r="W19" s="16">
        <v>380</v>
      </c>
      <c r="X19" s="78"/>
      <c r="Y19" s="78"/>
      <c r="Z19" s="17" t="s">
        <v>78</v>
      </c>
      <c r="AA19" s="110"/>
      <c r="AB19" s="110"/>
      <c r="AC19" s="75" t="s">
        <v>77</v>
      </c>
      <c r="AD19" s="78"/>
    </row>
    <row r="20" spans="3:31" ht="10.5" customHeight="1">
      <c r="C20" s="17">
        <v>1930</v>
      </c>
      <c r="D20" s="52"/>
      <c r="E20" s="28">
        <v>6641</v>
      </c>
      <c r="F20" s="52"/>
      <c r="G20" s="52"/>
      <c r="H20" s="75" t="s">
        <v>77</v>
      </c>
      <c r="I20" s="52"/>
      <c r="J20" s="52"/>
      <c r="K20" s="28">
        <v>1660</v>
      </c>
      <c r="L20" s="28"/>
      <c r="M20" s="52"/>
      <c r="N20" s="28">
        <v>6386</v>
      </c>
      <c r="O20" s="52"/>
      <c r="P20" s="52"/>
      <c r="Q20" s="28">
        <v>3783</v>
      </c>
      <c r="R20" s="52"/>
      <c r="S20" s="52"/>
      <c r="T20" s="28">
        <v>16810</v>
      </c>
      <c r="U20" s="78"/>
      <c r="V20" s="78"/>
      <c r="W20" s="28">
        <v>1206</v>
      </c>
      <c r="X20" s="78"/>
      <c r="Y20" s="78"/>
      <c r="Z20" s="17" t="s">
        <v>78</v>
      </c>
      <c r="AA20" s="78"/>
      <c r="AB20" s="78"/>
      <c r="AC20" s="75" t="s">
        <v>77</v>
      </c>
      <c r="AD20" s="78"/>
      <c r="AE20" s="43"/>
    </row>
    <row r="21" spans="3:31" ht="10.5" customHeight="1">
      <c r="C21" s="17">
        <v>1940</v>
      </c>
      <c r="D21" s="52"/>
      <c r="E21" s="28">
        <v>9226</v>
      </c>
      <c r="F21" s="52"/>
      <c r="G21" s="52"/>
      <c r="H21" s="16">
        <v>436</v>
      </c>
      <c r="I21" s="52"/>
      <c r="J21" s="52"/>
      <c r="K21" s="28">
        <v>4371</v>
      </c>
      <c r="L21" s="28"/>
      <c r="M21" s="52"/>
      <c r="N21" s="28">
        <v>3997</v>
      </c>
      <c r="O21" s="52"/>
      <c r="P21" s="52"/>
      <c r="Q21" s="28">
        <v>3097</v>
      </c>
      <c r="R21" s="52"/>
      <c r="S21" s="52"/>
      <c r="T21" s="28">
        <v>16756</v>
      </c>
      <c r="U21" s="78"/>
      <c r="V21" s="78"/>
      <c r="W21" s="28">
        <v>4444</v>
      </c>
      <c r="X21" s="78"/>
      <c r="Y21" s="78"/>
      <c r="Z21" s="17" t="s">
        <v>78</v>
      </c>
      <c r="AA21" s="78"/>
      <c r="AB21" s="78"/>
      <c r="AC21" s="75" t="s">
        <v>77</v>
      </c>
      <c r="AD21" s="78"/>
    </row>
    <row r="22" spans="3:31" ht="6.6" customHeight="1">
      <c r="C22" s="17"/>
      <c r="D22" s="52"/>
      <c r="E22" s="16"/>
      <c r="F22" s="52"/>
      <c r="G22" s="52"/>
      <c r="H22" s="16"/>
      <c r="I22" s="52"/>
      <c r="J22" s="52"/>
      <c r="K22" s="16"/>
      <c r="L22" s="16"/>
      <c r="M22" s="52"/>
      <c r="N22" s="16"/>
      <c r="O22" s="52"/>
      <c r="P22" s="52"/>
      <c r="Q22" s="16"/>
      <c r="R22" s="52"/>
      <c r="S22" s="52"/>
      <c r="T22" s="16"/>
      <c r="U22" s="78"/>
      <c r="V22" s="78"/>
      <c r="W22" s="16"/>
      <c r="X22" s="78"/>
      <c r="Y22" s="78"/>
      <c r="Z22" s="17"/>
      <c r="AA22" s="78"/>
      <c r="AB22" s="78"/>
      <c r="AC22" s="17"/>
      <c r="AD22" s="78"/>
    </row>
    <row r="23" spans="3:31" ht="10.5" customHeight="1">
      <c r="C23" s="17">
        <v>1950</v>
      </c>
      <c r="D23" s="52"/>
      <c r="E23" s="28">
        <v>12436</v>
      </c>
      <c r="F23" s="52"/>
      <c r="G23" s="52"/>
      <c r="H23" s="28">
        <v>2730</v>
      </c>
      <c r="I23" s="52"/>
      <c r="J23" s="52"/>
      <c r="K23" s="28">
        <v>9884</v>
      </c>
      <c r="L23" s="28"/>
      <c r="M23" s="52"/>
      <c r="N23" s="16">
        <v>728</v>
      </c>
      <c r="O23" s="52"/>
      <c r="P23" s="52"/>
      <c r="Q23" s="16">
        <v>746</v>
      </c>
      <c r="R23" s="52"/>
      <c r="S23" s="52"/>
      <c r="T23" s="28">
        <v>16640</v>
      </c>
      <c r="U23" s="78"/>
      <c r="V23" s="78"/>
      <c r="W23" s="28">
        <v>6303</v>
      </c>
      <c r="X23" s="78"/>
      <c r="Y23" s="78"/>
      <c r="Z23" s="17" t="s">
        <v>78</v>
      </c>
      <c r="AA23" s="78"/>
      <c r="AB23" s="78"/>
      <c r="AC23" s="75" t="s">
        <v>77</v>
      </c>
      <c r="AD23" s="78"/>
    </row>
    <row r="24" spans="3:31" ht="10.5" customHeight="1">
      <c r="C24" s="17">
        <v>1960</v>
      </c>
      <c r="D24" s="52"/>
      <c r="E24" s="28">
        <v>12203</v>
      </c>
      <c r="F24" s="52"/>
      <c r="G24" s="52"/>
      <c r="H24" s="28">
        <v>2255</v>
      </c>
      <c r="I24" s="52"/>
      <c r="J24" s="52"/>
      <c r="K24" s="28">
        <v>9173</v>
      </c>
      <c r="L24" s="28"/>
      <c r="M24" s="52"/>
      <c r="N24" s="16">
        <v>665</v>
      </c>
      <c r="O24" s="52"/>
      <c r="P24" s="52"/>
      <c r="Q24" s="16">
        <v>276</v>
      </c>
      <c r="R24" s="52"/>
      <c r="S24" s="52"/>
      <c r="T24" s="28">
        <v>15399</v>
      </c>
      <c r="U24" s="78"/>
      <c r="V24" s="78"/>
      <c r="W24" s="28">
        <v>7369</v>
      </c>
      <c r="X24" s="78"/>
      <c r="Y24" s="78"/>
      <c r="Z24" s="17" t="s">
        <v>78</v>
      </c>
      <c r="AA24" s="78"/>
      <c r="AB24" s="78"/>
      <c r="AC24" s="75" t="s">
        <v>77</v>
      </c>
      <c r="AD24" s="78"/>
    </row>
    <row r="25" spans="3:31" ht="10.5" customHeight="1">
      <c r="C25" s="17">
        <v>1970</v>
      </c>
      <c r="D25" s="52"/>
      <c r="E25" s="28">
        <v>11279</v>
      </c>
      <c r="F25" s="52"/>
      <c r="G25" s="52"/>
      <c r="H25" s="16">
        <v>265</v>
      </c>
      <c r="I25" s="52"/>
      <c r="J25" s="52"/>
      <c r="K25" s="28">
        <v>6265</v>
      </c>
      <c r="L25" s="28"/>
      <c r="M25" s="52"/>
      <c r="N25" s="16">
        <v>501</v>
      </c>
      <c r="O25" s="52"/>
      <c r="P25" s="52"/>
      <c r="Q25" s="16">
        <v>158</v>
      </c>
      <c r="R25" s="52"/>
      <c r="S25" s="52"/>
      <c r="T25" s="28">
        <v>12203</v>
      </c>
      <c r="U25" s="78"/>
      <c r="V25" s="78"/>
      <c r="W25" s="28">
        <v>7520</v>
      </c>
      <c r="X25" s="78"/>
      <c r="Y25" s="78"/>
      <c r="Z25" s="17" t="s">
        <v>78</v>
      </c>
      <c r="AA25" s="78"/>
      <c r="AB25" s="78"/>
      <c r="AC25" s="75" t="s">
        <v>77</v>
      </c>
      <c r="AD25" s="78"/>
    </row>
    <row r="26" spans="3:31" ht="10.5" customHeight="1">
      <c r="C26" s="17">
        <v>1980</v>
      </c>
      <c r="D26" s="52"/>
      <c r="E26" s="28">
        <v>11195</v>
      </c>
      <c r="F26" s="52"/>
      <c r="G26" s="52"/>
      <c r="H26" s="16">
        <v>182</v>
      </c>
      <c r="I26" s="52"/>
      <c r="J26" s="52"/>
      <c r="K26" s="28">
        <v>6082</v>
      </c>
      <c r="L26" s="28"/>
      <c r="M26" s="52"/>
      <c r="N26" s="16">
        <v>440</v>
      </c>
      <c r="O26" s="52"/>
      <c r="P26" s="52"/>
      <c r="Q26" s="16">
        <v>189</v>
      </c>
      <c r="R26" s="52"/>
      <c r="S26" s="52"/>
      <c r="T26" s="28">
        <v>12006</v>
      </c>
      <c r="U26" s="78"/>
      <c r="V26" s="78"/>
      <c r="W26" s="28">
        <v>7582</v>
      </c>
      <c r="X26" s="78"/>
      <c r="Y26" s="78"/>
      <c r="Z26" s="17" t="s">
        <v>78</v>
      </c>
      <c r="AA26" s="78"/>
      <c r="AB26" s="78"/>
      <c r="AC26" s="75" t="s">
        <v>77</v>
      </c>
      <c r="AD26" s="78"/>
    </row>
    <row r="27" spans="3:31" ht="10.5" customHeight="1">
      <c r="C27" s="17">
        <v>1990</v>
      </c>
      <c r="D27" s="78">
        <v>4</v>
      </c>
      <c r="E27" s="28">
        <v>10801</v>
      </c>
      <c r="F27" s="78" t="s">
        <v>79</v>
      </c>
      <c r="G27" s="78"/>
      <c r="H27" s="75" t="s">
        <v>77</v>
      </c>
      <c r="I27" s="52"/>
      <c r="J27" s="52"/>
      <c r="K27" s="28">
        <v>5639</v>
      </c>
      <c r="L27" s="28"/>
      <c r="M27" s="52"/>
      <c r="N27" s="16">
        <v>317</v>
      </c>
      <c r="O27" s="78"/>
      <c r="P27" s="78"/>
      <c r="Q27" s="16">
        <v>75</v>
      </c>
      <c r="R27" s="52"/>
      <c r="S27" s="52"/>
      <c r="T27" s="28">
        <v>11193</v>
      </c>
      <c r="U27" s="78"/>
      <c r="V27" s="78"/>
      <c r="W27" s="28">
        <v>7382</v>
      </c>
      <c r="X27" s="78"/>
      <c r="Y27" s="78"/>
      <c r="Z27" s="28">
        <v>1207</v>
      </c>
      <c r="AA27" s="78"/>
      <c r="AB27" s="78"/>
      <c r="AC27" s="17" t="s">
        <v>78</v>
      </c>
      <c r="AD27" s="78"/>
    </row>
    <row r="28" spans="3:31" s="87" customFormat="1" ht="17.25" customHeight="1">
      <c r="C28" s="157">
        <v>1991</v>
      </c>
      <c r="D28" s="158"/>
      <c r="E28" s="159">
        <v>10961</v>
      </c>
      <c r="F28" s="160" t="s">
        <v>482</v>
      </c>
      <c r="G28" s="160"/>
      <c r="H28" s="161" t="s">
        <v>77</v>
      </c>
      <c r="I28" s="158"/>
      <c r="J28" s="158"/>
      <c r="K28" s="159">
        <v>5820</v>
      </c>
      <c r="L28" s="159"/>
      <c r="M28" s="158"/>
      <c r="N28" s="159">
        <v>24</v>
      </c>
      <c r="O28" s="160">
        <v>9</v>
      </c>
      <c r="P28" s="160"/>
      <c r="Q28" s="162">
        <v>65</v>
      </c>
      <c r="R28" s="158"/>
      <c r="S28" s="158"/>
      <c r="T28" s="159">
        <v>11050</v>
      </c>
      <c r="U28" s="160"/>
      <c r="V28" s="160"/>
      <c r="W28" s="159">
        <v>7336</v>
      </c>
      <c r="X28" s="160"/>
      <c r="Y28" s="160"/>
      <c r="Z28" s="159">
        <v>1296</v>
      </c>
      <c r="AA28" s="160"/>
      <c r="AB28" s="160"/>
      <c r="AC28" s="159">
        <v>6576</v>
      </c>
      <c r="AD28" s="160"/>
    </row>
    <row r="29" spans="3:31" ht="10.5" customHeight="1">
      <c r="C29" s="17">
        <v>1992</v>
      </c>
      <c r="D29" s="52"/>
      <c r="E29" s="28">
        <v>10899</v>
      </c>
      <c r="F29" s="78"/>
      <c r="G29" s="78"/>
      <c r="H29" s="75" t="s">
        <v>77</v>
      </c>
      <c r="I29" s="52"/>
      <c r="J29" s="52"/>
      <c r="K29" s="28">
        <v>5757</v>
      </c>
      <c r="L29" s="28"/>
      <c r="M29" s="52"/>
      <c r="N29" s="28">
        <v>24</v>
      </c>
      <c r="O29" s="78"/>
      <c r="P29" s="78"/>
      <c r="Q29" s="16">
        <v>65</v>
      </c>
      <c r="R29" s="52"/>
      <c r="S29" s="52"/>
      <c r="T29" s="28">
        <v>10988</v>
      </c>
      <c r="U29" s="78"/>
      <c r="V29" s="78"/>
      <c r="W29" s="28">
        <v>7352</v>
      </c>
      <c r="X29" s="78"/>
      <c r="Y29" s="78"/>
      <c r="Z29" s="28">
        <v>1314</v>
      </c>
      <c r="AA29" s="78"/>
      <c r="AB29" s="78"/>
      <c r="AC29" s="28">
        <v>6650</v>
      </c>
      <c r="AD29" s="78"/>
    </row>
    <row r="30" spans="3:31" ht="10.5" customHeight="1">
      <c r="C30" s="17">
        <v>1993</v>
      </c>
      <c r="D30" s="52"/>
      <c r="E30" s="28">
        <v>9746</v>
      </c>
      <c r="F30" s="78">
        <v>10</v>
      </c>
      <c r="G30" s="78"/>
      <c r="H30" s="75" t="s">
        <v>77</v>
      </c>
      <c r="I30" s="52"/>
      <c r="J30" s="52"/>
      <c r="K30" s="28">
        <v>5712</v>
      </c>
      <c r="L30" s="28"/>
      <c r="M30" s="52"/>
      <c r="N30" s="28">
        <v>1077</v>
      </c>
      <c r="O30" s="78">
        <v>10</v>
      </c>
      <c r="P30" s="78"/>
      <c r="Q30" s="16">
        <v>65</v>
      </c>
      <c r="R30" s="52"/>
      <c r="S30" s="52"/>
      <c r="T30" s="28">
        <v>10888</v>
      </c>
      <c r="U30" s="78"/>
      <c r="V30" s="78"/>
      <c r="W30" s="28">
        <v>7359</v>
      </c>
      <c r="X30" s="78"/>
      <c r="Y30" s="78"/>
      <c r="Z30" s="28">
        <v>1321</v>
      </c>
      <c r="AA30" s="78"/>
      <c r="AB30" s="78"/>
      <c r="AC30" s="28">
        <v>6650</v>
      </c>
      <c r="AD30" s="78"/>
    </row>
    <row r="31" spans="3:31" ht="10.5" customHeight="1">
      <c r="C31" s="17">
        <v>1994</v>
      </c>
      <c r="D31" s="52"/>
      <c r="E31" s="28">
        <v>9661</v>
      </c>
      <c r="F31" s="52"/>
      <c r="G31" s="52"/>
      <c r="H31" s="75" t="s">
        <v>77</v>
      </c>
      <c r="I31" s="52"/>
      <c r="J31" s="52"/>
      <c r="K31" s="28">
        <v>5640</v>
      </c>
      <c r="L31" s="28"/>
      <c r="M31" s="52"/>
      <c r="N31" s="28">
        <v>1077</v>
      </c>
      <c r="O31" s="52"/>
      <c r="P31" s="52"/>
      <c r="Q31" s="16">
        <v>65</v>
      </c>
      <c r="R31" s="52"/>
      <c r="S31" s="52"/>
      <c r="T31" s="28">
        <v>10803</v>
      </c>
      <c r="U31" s="78"/>
      <c r="V31" s="78"/>
      <c r="W31" s="28">
        <v>7266</v>
      </c>
      <c r="X31" s="78"/>
      <c r="Y31" s="78"/>
      <c r="Z31" s="28">
        <v>1354</v>
      </c>
      <c r="AA31" s="78"/>
      <c r="AB31" s="78"/>
      <c r="AC31" s="28">
        <v>6780</v>
      </c>
      <c r="AD31" s="78"/>
    </row>
    <row r="32" spans="3:31" ht="10.5" customHeight="1">
      <c r="C32" s="17">
        <v>1995</v>
      </c>
      <c r="D32" s="52"/>
      <c r="E32" s="28">
        <v>9782</v>
      </c>
      <c r="F32" s="52"/>
      <c r="G32" s="52"/>
      <c r="H32" s="75" t="s">
        <v>77</v>
      </c>
      <c r="I32" s="52"/>
      <c r="J32" s="52"/>
      <c r="K32" s="28">
        <v>5540</v>
      </c>
      <c r="L32" s="28"/>
      <c r="M32" s="52"/>
      <c r="N32" s="28">
        <v>1077</v>
      </c>
      <c r="O32" s="52"/>
      <c r="P32" s="52"/>
      <c r="Q32" s="16">
        <v>66</v>
      </c>
      <c r="R32" s="52"/>
      <c r="S32" s="52"/>
      <c r="T32" s="28">
        <v>10925</v>
      </c>
      <c r="U32" s="78"/>
      <c r="V32" s="78"/>
      <c r="W32" s="28">
        <v>7402</v>
      </c>
      <c r="X32" s="78"/>
      <c r="Y32" s="78"/>
      <c r="Z32" s="28">
        <v>1449</v>
      </c>
      <c r="AA32" s="78"/>
      <c r="AB32" s="78"/>
      <c r="AC32" s="28">
        <v>6927</v>
      </c>
      <c r="AD32" s="78"/>
    </row>
    <row r="33" spans="3:30" s="87" customFormat="1" ht="17.25" customHeight="1">
      <c r="C33" s="157">
        <v>1996</v>
      </c>
      <c r="D33" s="158"/>
      <c r="E33" s="159">
        <v>9821</v>
      </c>
      <c r="F33" s="158"/>
      <c r="G33" s="158"/>
      <c r="H33" s="161" t="s">
        <v>77</v>
      </c>
      <c r="I33" s="158"/>
      <c r="J33" s="158"/>
      <c r="K33" s="157" t="s">
        <v>78</v>
      </c>
      <c r="L33" s="157"/>
      <c r="M33" s="163"/>
      <c r="N33" s="159">
        <v>1077</v>
      </c>
      <c r="O33" s="158"/>
      <c r="P33" s="158"/>
      <c r="Q33" s="162">
        <v>66</v>
      </c>
      <c r="R33" s="158"/>
      <c r="S33" s="158"/>
      <c r="T33" s="159">
        <v>10964</v>
      </c>
      <c r="U33" s="160"/>
      <c r="V33" s="160"/>
      <c r="W33" s="159">
        <v>7470</v>
      </c>
      <c r="X33" s="160"/>
      <c r="Y33" s="160"/>
      <c r="Z33" s="159">
        <v>1466</v>
      </c>
      <c r="AA33" s="160"/>
      <c r="AB33" s="160"/>
      <c r="AC33" s="159">
        <v>7042</v>
      </c>
      <c r="AD33" s="160"/>
    </row>
    <row r="34" spans="3:30" ht="10.5" customHeight="1">
      <c r="C34" s="17">
        <v>1997</v>
      </c>
      <c r="D34" s="52"/>
      <c r="E34" s="28">
        <v>9798</v>
      </c>
      <c r="F34" s="52"/>
      <c r="G34" s="52"/>
      <c r="H34" s="75" t="s">
        <v>77</v>
      </c>
      <c r="I34" s="52"/>
      <c r="J34" s="52"/>
      <c r="K34" s="17" t="s">
        <v>78</v>
      </c>
      <c r="L34" s="17"/>
      <c r="M34" s="111"/>
      <c r="N34" s="28">
        <v>1077</v>
      </c>
      <c r="O34" s="52"/>
      <c r="P34" s="52"/>
      <c r="Q34" s="16">
        <v>66</v>
      </c>
      <c r="R34" s="52"/>
      <c r="S34" s="52"/>
      <c r="T34" s="28">
        <v>10941</v>
      </c>
      <c r="U34" s="78"/>
      <c r="V34" s="78"/>
      <c r="W34" s="28">
        <v>7445</v>
      </c>
      <c r="X34" s="78"/>
      <c r="Y34" s="78"/>
      <c r="Z34" s="28">
        <v>1510</v>
      </c>
      <c r="AA34" s="78"/>
      <c r="AB34" s="78"/>
      <c r="AC34" s="28">
        <v>7256</v>
      </c>
      <c r="AD34" s="78"/>
    </row>
    <row r="35" spans="3:30" ht="10.5" customHeight="1">
      <c r="C35" s="17">
        <v>1998</v>
      </c>
      <c r="D35" s="52"/>
      <c r="E35" s="28">
        <v>9855</v>
      </c>
      <c r="F35" s="52"/>
      <c r="G35" s="52"/>
      <c r="H35" s="75" t="s">
        <v>77</v>
      </c>
      <c r="I35" s="52"/>
      <c r="J35" s="52"/>
      <c r="K35" s="17" t="s">
        <v>78</v>
      </c>
      <c r="L35" s="17"/>
      <c r="M35" s="111"/>
      <c r="N35" s="28">
        <v>1077</v>
      </c>
      <c r="O35" s="52"/>
      <c r="P35" s="52"/>
      <c r="Q35" s="16">
        <v>65</v>
      </c>
      <c r="R35" s="52"/>
      <c r="S35" s="52"/>
      <c r="T35" s="28">
        <v>10997</v>
      </c>
      <c r="U35" s="78"/>
      <c r="V35" s="78"/>
      <c r="W35" s="28">
        <v>7444</v>
      </c>
      <c r="X35" s="78"/>
      <c r="Y35" s="78"/>
      <c r="Z35" s="28">
        <v>1535</v>
      </c>
      <c r="AA35" s="78"/>
      <c r="AB35" s="78"/>
      <c r="AC35" s="28">
        <v>7405</v>
      </c>
      <c r="AD35" s="78"/>
    </row>
    <row r="36" spans="3:30" ht="10.5" customHeight="1">
      <c r="C36" s="17">
        <v>1999</v>
      </c>
      <c r="D36" s="52"/>
      <c r="E36" s="28">
        <v>9884</v>
      </c>
      <c r="F36" s="52"/>
      <c r="G36" s="52"/>
      <c r="H36" s="75" t="s">
        <v>77</v>
      </c>
      <c r="I36" s="52"/>
      <c r="J36" s="52"/>
      <c r="K36" s="17" t="s">
        <v>78</v>
      </c>
      <c r="L36" s="17"/>
      <c r="M36" s="111"/>
      <c r="N36" s="28">
        <v>1095</v>
      </c>
      <c r="O36" s="52"/>
      <c r="P36" s="52"/>
      <c r="Q36" s="16">
        <v>65</v>
      </c>
      <c r="R36" s="52"/>
      <c r="S36" s="52"/>
      <c r="T36" s="28">
        <v>11044</v>
      </c>
      <c r="U36" s="78"/>
      <c r="V36" s="78"/>
      <c r="W36" s="28">
        <v>7474</v>
      </c>
      <c r="X36" s="78"/>
      <c r="Y36" s="78"/>
      <c r="Z36" s="28">
        <v>1575</v>
      </c>
      <c r="AA36" s="27"/>
      <c r="AB36" s="27"/>
      <c r="AC36" s="28">
        <v>7468</v>
      </c>
      <c r="AD36" s="27"/>
    </row>
    <row r="37" spans="3:30" ht="10.5" customHeight="1">
      <c r="C37" s="17">
        <v>2000</v>
      </c>
      <c r="D37" s="52"/>
      <c r="E37" s="28">
        <v>9877</v>
      </c>
      <c r="F37" s="52"/>
      <c r="G37" s="52"/>
      <c r="H37" s="75" t="s">
        <v>77</v>
      </c>
      <c r="I37" s="52"/>
      <c r="J37" s="52"/>
      <c r="K37" s="17" t="s">
        <v>78</v>
      </c>
      <c r="L37" s="17"/>
      <c r="M37" s="111"/>
      <c r="N37" s="28">
        <v>1095</v>
      </c>
      <c r="O37" s="52"/>
      <c r="P37" s="52"/>
      <c r="Q37" s="16">
        <v>65</v>
      </c>
      <c r="R37" s="52"/>
      <c r="S37" s="52"/>
      <c r="T37" s="28">
        <v>11037</v>
      </c>
      <c r="U37" s="78"/>
      <c r="V37" s="78"/>
      <c r="W37" s="28">
        <v>7487</v>
      </c>
      <c r="X37" s="78"/>
      <c r="Y37" s="78"/>
      <c r="Z37" s="28">
        <v>1709</v>
      </c>
      <c r="AA37" s="78"/>
      <c r="AB37" s="78"/>
      <c r="AC37" s="28">
        <v>7508</v>
      </c>
      <c r="AD37" s="78"/>
    </row>
    <row r="38" spans="3:30" s="87" customFormat="1" ht="17.25" customHeight="1">
      <c r="C38" s="157">
        <v>2001</v>
      </c>
      <c r="D38" s="158"/>
      <c r="E38" s="159">
        <v>9865</v>
      </c>
      <c r="F38" s="158"/>
      <c r="G38" s="158"/>
      <c r="H38" s="161" t="s">
        <v>77</v>
      </c>
      <c r="I38" s="158"/>
      <c r="J38" s="158"/>
      <c r="K38" s="157" t="s">
        <v>78</v>
      </c>
      <c r="L38" s="157"/>
      <c r="M38" s="163"/>
      <c r="N38" s="159">
        <v>1091</v>
      </c>
      <c r="O38" s="158"/>
      <c r="P38" s="158"/>
      <c r="Q38" s="162">
        <v>65</v>
      </c>
      <c r="R38" s="158"/>
      <c r="S38" s="158"/>
      <c r="T38" s="159">
        <v>11021</v>
      </c>
      <c r="U38" s="160"/>
      <c r="V38" s="160"/>
      <c r="W38" s="159">
        <v>7681</v>
      </c>
      <c r="X38" s="160"/>
      <c r="Y38" s="160"/>
      <c r="Z38" s="159">
        <v>1719</v>
      </c>
      <c r="AA38" s="160"/>
      <c r="AB38" s="160"/>
      <c r="AC38" s="159">
        <v>7548</v>
      </c>
      <c r="AD38" s="164"/>
    </row>
    <row r="39" spans="3:30" ht="10.5" customHeight="1">
      <c r="C39" s="17">
        <v>2002</v>
      </c>
      <c r="D39" s="52"/>
      <c r="E39" s="28">
        <v>9940</v>
      </c>
      <c r="F39" s="52"/>
      <c r="G39" s="52"/>
      <c r="H39" s="75" t="s">
        <v>77</v>
      </c>
      <c r="I39" s="52"/>
      <c r="J39" s="52"/>
      <c r="K39" s="17" t="s">
        <v>78</v>
      </c>
      <c r="L39" s="17"/>
      <c r="M39" s="111"/>
      <c r="N39" s="28">
        <v>1090</v>
      </c>
      <c r="O39" s="52"/>
      <c r="P39" s="52"/>
      <c r="Q39" s="16">
        <v>65</v>
      </c>
      <c r="R39" s="52"/>
      <c r="S39" s="52"/>
      <c r="T39" s="28">
        <v>11095</v>
      </c>
      <c r="U39" s="78"/>
      <c r="V39" s="78"/>
      <c r="W39" s="28">
        <v>7758</v>
      </c>
      <c r="X39" s="78"/>
      <c r="Y39" s="78"/>
      <c r="Z39" s="28">
        <v>1740</v>
      </c>
      <c r="AA39" s="78"/>
      <c r="AB39" s="78"/>
      <c r="AC39" s="28">
        <v>7570</v>
      </c>
      <c r="AD39" s="27"/>
    </row>
    <row r="40" spans="3:30" ht="10.5" customHeight="1">
      <c r="C40" s="17">
        <v>2003</v>
      </c>
      <c r="D40" s="52"/>
      <c r="E40" s="28">
        <v>9882</v>
      </c>
      <c r="F40" s="52"/>
      <c r="G40" s="52"/>
      <c r="H40" s="75" t="s">
        <v>77</v>
      </c>
      <c r="I40" s="52"/>
      <c r="J40" s="52"/>
      <c r="K40" s="17" t="s">
        <v>78</v>
      </c>
      <c r="L40" s="17"/>
      <c r="M40" s="111"/>
      <c r="N40" s="28">
        <v>1090</v>
      </c>
      <c r="O40" s="52"/>
      <c r="P40" s="52"/>
      <c r="Q40" s="16">
        <v>65</v>
      </c>
      <c r="R40" s="52"/>
      <c r="S40" s="52"/>
      <c r="T40" s="28">
        <v>11037</v>
      </c>
      <c r="U40" s="78"/>
      <c r="V40" s="78"/>
      <c r="W40" s="28">
        <v>7739</v>
      </c>
      <c r="X40" s="78"/>
      <c r="Y40" s="78"/>
      <c r="Z40" s="28">
        <v>1768</v>
      </c>
      <c r="AA40" s="78"/>
      <c r="AB40" s="78"/>
      <c r="AC40" s="28">
        <v>7682</v>
      </c>
      <c r="AD40" s="27"/>
    </row>
    <row r="41" spans="3:30" ht="10.5" customHeight="1">
      <c r="C41" s="17">
        <v>2004</v>
      </c>
      <c r="D41" s="52"/>
      <c r="E41" s="28">
        <v>9895</v>
      </c>
      <c r="F41" s="52"/>
      <c r="G41" s="52"/>
      <c r="H41" s="75" t="s">
        <v>77</v>
      </c>
      <c r="I41" s="52"/>
      <c r="J41" s="52"/>
      <c r="K41" s="17" t="s">
        <v>78</v>
      </c>
      <c r="L41" s="17"/>
      <c r="M41" s="111"/>
      <c r="N41" s="28">
        <v>1090</v>
      </c>
      <c r="O41" s="52"/>
      <c r="P41" s="52"/>
      <c r="Q41" s="16">
        <v>65</v>
      </c>
      <c r="R41" s="52"/>
      <c r="S41" s="52"/>
      <c r="T41" s="28">
        <v>11050</v>
      </c>
      <c r="U41" s="78"/>
      <c r="V41" s="78"/>
      <c r="W41" s="28">
        <v>7745</v>
      </c>
      <c r="X41" s="78"/>
      <c r="Y41" s="78"/>
      <c r="Z41" s="28">
        <v>1793</v>
      </c>
      <c r="AA41" s="78"/>
      <c r="AB41" s="78"/>
      <c r="AC41" s="28">
        <v>7675</v>
      </c>
      <c r="AD41" s="27"/>
    </row>
    <row r="42" spans="3:30" ht="10.5" customHeight="1">
      <c r="C42" s="17">
        <v>2005</v>
      </c>
      <c r="D42" s="52"/>
      <c r="E42" s="28">
        <v>9867</v>
      </c>
      <c r="F42" s="52"/>
      <c r="G42" s="52"/>
      <c r="H42" s="75" t="s">
        <v>77</v>
      </c>
      <c r="I42" s="52"/>
      <c r="J42" s="52"/>
      <c r="K42" s="17" t="s">
        <v>78</v>
      </c>
      <c r="L42" s="17"/>
      <c r="M42" s="111"/>
      <c r="N42" s="28">
        <v>1085</v>
      </c>
      <c r="O42" s="52"/>
      <c r="P42" s="52"/>
      <c r="Q42" s="16">
        <v>65</v>
      </c>
      <c r="R42" s="52"/>
      <c r="S42" s="52"/>
      <c r="T42" s="28">
        <v>11017</v>
      </c>
      <c r="U42" s="78"/>
      <c r="V42" s="78"/>
      <c r="W42" s="28">
        <v>7737</v>
      </c>
      <c r="X42" s="78"/>
      <c r="Y42" s="78"/>
      <c r="Z42" s="28">
        <v>1785</v>
      </c>
      <c r="AA42" s="78"/>
      <c r="AB42" s="78"/>
      <c r="AC42" s="28">
        <v>7775</v>
      </c>
      <c r="AD42" s="27"/>
    </row>
    <row r="43" spans="3:30" s="87" customFormat="1" ht="17.25" customHeight="1">
      <c r="C43" s="157">
        <v>2006</v>
      </c>
      <c r="D43" s="158"/>
      <c r="E43" s="159">
        <v>9869</v>
      </c>
      <c r="F43" s="158"/>
      <c r="G43" s="158"/>
      <c r="H43" s="161" t="s">
        <v>77</v>
      </c>
      <c r="I43" s="158"/>
      <c r="J43" s="158"/>
      <c r="K43" s="157" t="s">
        <v>78</v>
      </c>
      <c r="L43" s="157"/>
      <c r="M43" s="163"/>
      <c r="N43" s="159">
        <v>1086</v>
      </c>
      <c r="O43" s="158"/>
      <c r="P43" s="158"/>
      <c r="Q43" s="162">
        <v>65</v>
      </c>
      <c r="R43" s="158"/>
      <c r="S43" s="158"/>
      <c r="T43" s="159">
        <v>11020</v>
      </c>
      <c r="U43" s="160"/>
      <c r="V43" s="160"/>
      <c r="W43" s="159">
        <v>7749</v>
      </c>
      <c r="X43" s="160"/>
      <c r="Y43" s="160"/>
      <c r="Z43" s="159">
        <v>1804</v>
      </c>
      <c r="AA43" s="160"/>
      <c r="AB43" s="160"/>
      <c r="AC43" s="159">
        <v>7728</v>
      </c>
      <c r="AD43" s="164"/>
    </row>
    <row r="44" spans="3:30" ht="10.5" customHeight="1">
      <c r="C44" s="17">
        <v>2007</v>
      </c>
      <c r="D44" s="52"/>
      <c r="E44" s="28">
        <v>9821</v>
      </c>
      <c r="F44" s="52"/>
      <c r="G44" s="52"/>
      <c r="H44" s="75" t="s">
        <v>77</v>
      </c>
      <c r="I44" s="52"/>
      <c r="J44" s="52"/>
      <c r="K44" s="17" t="s">
        <v>78</v>
      </c>
      <c r="L44" s="17"/>
      <c r="M44" s="111"/>
      <c r="N44" s="28">
        <v>1086</v>
      </c>
      <c r="O44" s="52"/>
      <c r="P44" s="52"/>
      <c r="Q44" s="16">
        <v>65</v>
      </c>
      <c r="R44" s="52"/>
      <c r="S44" s="52"/>
      <c r="T44" s="28">
        <v>10972</v>
      </c>
      <c r="U44" s="78"/>
      <c r="V44" s="78"/>
      <c r="W44" s="28">
        <v>7848</v>
      </c>
      <c r="X44" s="78"/>
      <c r="Y44" s="78"/>
      <c r="Z44" s="28">
        <v>1807</v>
      </c>
      <c r="AA44" s="78"/>
      <c r="AB44" s="78"/>
      <c r="AC44" s="28">
        <v>7847</v>
      </c>
      <c r="AD44" s="27"/>
    </row>
    <row r="45" spans="3:30" ht="10.5" customHeight="1">
      <c r="C45" s="17">
        <v>2008</v>
      </c>
      <c r="D45" s="52"/>
      <c r="E45" s="28">
        <v>9840</v>
      </c>
      <c r="F45" s="52"/>
      <c r="G45" s="52"/>
      <c r="H45" s="75" t="s">
        <v>77</v>
      </c>
      <c r="I45" s="52"/>
      <c r="J45" s="52"/>
      <c r="K45" s="17" t="s">
        <v>78</v>
      </c>
      <c r="L45" s="17"/>
      <c r="M45" s="111"/>
      <c r="N45" s="28">
        <v>1127</v>
      </c>
      <c r="O45" s="52"/>
      <c r="P45" s="52"/>
      <c r="Q45" s="16">
        <v>65</v>
      </c>
      <c r="R45" s="52"/>
      <c r="S45" s="52"/>
      <c r="T45" s="28">
        <v>11032</v>
      </c>
      <c r="U45" s="78"/>
      <c r="V45" s="78"/>
      <c r="W45" s="28">
        <v>7867</v>
      </c>
      <c r="X45" s="78"/>
      <c r="Y45" s="78"/>
      <c r="Z45" s="28">
        <v>1827</v>
      </c>
      <c r="AA45" s="78"/>
      <c r="AB45" s="78"/>
      <c r="AC45" s="28">
        <v>7840</v>
      </c>
      <c r="AD45" s="78"/>
    </row>
    <row r="46" spans="3:30" ht="10.5" customHeight="1">
      <c r="C46" s="17">
        <v>2009</v>
      </c>
      <c r="D46" s="52"/>
      <c r="E46" s="28">
        <v>9957</v>
      </c>
      <c r="F46" s="78"/>
      <c r="G46" s="78"/>
      <c r="H46" s="75" t="s">
        <v>77</v>
      </c>
      <c r="I46" s="52"/>
      <c r="J46" s="52"/>
      <c r="K46" s="17" t="s">
        <v>78</v>
      </c>
      <c r="L46" s="17"/>
      <c r="M46" s="111"/>
      <c r="N46" s="28">
        <v>1127</v>
      </c>
      <c r="O46" s="52"/>
      <c r="P46" s="52"/>
      <c r="Q46" s="16">
        <v>65</v>
      </c>
      <c r="R46" s="52"/>
      <c r="S46" s="52"/>
      <c r="T46" s="28">
        <v>11149</v>
      </c>
      <c r="U46" s="78"/>
      <c r="V46" s="78"/>
      <c r="W46" s="28">
        <v>7963</v>
      </c>
      <c r="X46" s="78"/>
      <c r="Y46" s="78"/>
      <c r="Z46" s="28">
        <v>1842</v>
      </c>
      <c r="AA46" s="78"/>
      <c r="AB46" s="78"/>
      <c r="AC46" s="28">
        <v>7828</v>
      </c>
      <c r="AD46" s="78"/>
    </row>
    <row r="47" spans="3:30" ht="10.5" customHeight="1">
      <c r="C47" s="17">
        <v>2010</v>
      </c>
      <c r="D47" s="52"/>
      <c r="E47" s="28">
        <v>9968</v>
      </c>
      <c r="F47" s="78"/>
      <c r="G47" s="78"/>
      <c r="H47" s="75" t="s">
        <v>77</v>
      </c>
      <c r="I47" s="52"/>
      <c r="J47" s="52"/>
      <c r="K47" s="17" t="s">
        <v>78</v>
      </c>
      <c r="L47" s="17"/>
      <c r="M47" s="111"/>
      <c r="N47" s="28">
        <v>1127</v>
      </c>
      <c r="O47" s="52"/>
      <c r="P47" s="52"/>
      <c r="Q47" s="16">
        <v>65</v>
      </c>
      <c r="R47" s="52"/>
      <c r="S47" s="52"/>
      <c r="T47" s="28">
        <v>11160</v>
      </c>
      <c r="U47" s="78"/>
      <c r="V47" s="78"/>
      <c r="W47" s="28">
        <v>7965</v>
      </c>
      <c r="X47" s="78"/>
      <c r="Y47" s="78"/>
      <c r="Z47" s="28">
        <v>1865</v>
      </c>
      <c r="AA47" s="78"/>
      <c r="AB47" s="78"/>
      <c r="AC47" s="28">
        <v>7838</v>
      </c>
      <c r="AD47" s="78"/>
    </row>
    <row r="48" spans="3:30" s="87" customFormat="1" ht="17.25" customHeight="1">
      <c r="C48" s="157">
        <v>2011</v>
      </c>
      <c r="D48" s="158"/>
      <c r="E48" s="159">
        <v>10014</v>
      </c>
      <c r="F48" s="158"/>
      <c r="G48" s="158"/>
      <c r="H48" s="161" t="s">
        <v>77</v>
      </c>
      <c r="I48" s="158"/>
      <c r="J48" s="158"/>
      <c r="K48" s="157" t="s">
        <v>78</v>
      </c>
      <c r="L48" s="157"/>
      <c r="M48" s="163"/>
      <c r="N48" s="159">
        <v>1127</v>
      </c>
      <c r="O48" s="158"/>
      <c r="P48" s="158"/>
      <c r="Q48" s="162">
        <v>65</v>
      </c>
      <c r="R48" s="158"/>
      <c r="S48" s="158"/>
      <c r="T48" s="159">
        <v>11206</v>
      </c>
      <c r="U48" s="160"/>
      <c r="V48" s="160"/>
      <c r="W48" s="159">
        <v>8119</v>
      </c>
      <c r="X48" s="160"/>
      <c r="Y48" s="160"/>
      <c r="Z48" s="159">
        <v>1886</v>
      </c>
      <c r="AA48" s="160"/>
      <c r="AB48" s="160"/>
      <c r="AC48" s="159">
        <v>7878</v>
      </c>
      <c r="AD48" s="160"/>
    </row>
    <row r="49" spans="2:34" s="87" customFormat="1" ht="10.5" customHeight="1">
      <c r="C49" s="157">
        <v>2012</v>
      </c>
      <c r="D49" s="158"/>
      <c r="E49" s="159">
        <v>9944</v>
      </c>
      <c r="F49" s="158"/>
      <c r="G49" s="158"/>
      <c r="H49" s="161" t="s">
        <v>77</v>
      </c>
      <c r="I49" s="158"/>
      <c r="J49" s="158"/>
      <c r="K49" s="157" t="s">
        <v>78</v>
      </c>
      <c r="L49" s="157"/>
      <c r="M49" s="163"/>
      <c r="N49" s="159">
        <v>1127</v>
      </c>
      <c r="O49" s="158"/>
      <c r="P49" s="158"/>
      <c r="Q49" s="162">
        <v>65</v>
      </c>
      <c r="R49" s="158"/>
      <c r="S49" s="158"/>
      <c r="T49" s="159">
        <v>11136.2</v>
      </c>
      <c r="U49" s="160"/>
      <c r="V49" s="160"/>
      <c r="W49" s="159">
        <v>8194.2000000000007</v>
      </c>
      <c r="X49" s="160"/>
      <c r="Y49" s="160"/>
      <c r="Z49" s="159">
        <v>1946.6</v>
      </c>
      <c r="AA49" s="160"/>
      <c r="AB49" s="160"/>
      <c r="AC49" s="159">
        <v>7907.8</v>
      </c>
      <c r="AD49" s="160"/>
    </row>
    <row r="50" spans="2:34" s="87" customFormat="1" ht="10.5" customHeight="1">
      <c r="C50" s="157">
        <v>2013</v>
      </c>
      <c r="D50" s="158"/>
      <c r="E50" s="159">
        <v>9765</v>
      </c>
      <c r="F50" s="158"/>
      <c r="G50" s="158"/>
      <c r="H50" s="161" t="s">
        <v>77</v>
      </c>
      <c r="I50" s="158"/>
      <c r="J50" s="158"/>
      <c r="K50" s="157" t="s">
        <v>78</v>
      </c>
      <c r="L50" s="157"/>
      <c r="M50" s="163"/>
      <c r="N50" s="159">
        <v>1127</v>
      </c>
      <c r="O50" s="158"/>
      <c r="P50" s="158"/>
      <c r="Q50" s="162">
        <v>65</v>
      </c>
      <c r="R50" s="158"/>
      <c r="S50" s="158"/>
      <c r="T50" s="159">
        <v>10957.2</v>
      </c>
      <c r="U50" s="160"/>
      <c r="V50" s="160"/>
      <c r="W50" s="159">
        <v>8214.2000000000007</v>
      </c>
      <c r="X50" s="160"/>
      <c r="Y50" s="160"/>
      <c r="Z50" s="159">
        <v>1947.6</v>
      </c>
      <c r="AA50" s="160"/>
      <c r="AB50" s="160"/>
      <c r="AC50" s="159">
        <v>7902.8</v>
      </c>
      <c r="AD50" s="160"/>
      <c r="AF50" s="214"/>
    </row>
    <row r="51" spans="2:34" s="87" customFormat="1" ht="10.5" customHeight="1">
      <c r="C51" s="157">
        <v>2014</v>
      </c>
      <c r="D51" s="158"/>
      <c r="E51" s="159">
        <v>9689</v>
      </c>
      <c r="F51" s="158"/>
      <c r="G51" s="158"/>
      <c r="H51" s="161" t="s">
        <v>77</v>
      </c>
      <c r="I51" s="158"/>
      <c r="J51" s="158"/>
      <c r="K51" s="157" t="s">
        <v>78</v>
      </c>
      <c r="L51" s="157"/>
      <c r="M51" s="163"/>
      <c r="N51" s="159">
        <v>1127</v>
      </c>
      <c r="O51" s="158"/>
      <c r="P51" s="158"/>
      <c r="Q51" s="162">
        <v>65</v>
      </c>
      <c r="R51" s="158"/>
      <c r="S51" s="158"/>
      <c r="T51" s="159">
        <v>10881.2</v>
      </c>
      <c r="U51" s="160"/>
      <c r="V51" s="160"/>
      <c r="W51" s="159">
        <v>8232.2000000000007</v>
      </c>
      <c r="X51" s="160"/>
      <c r="Y51" s="160"/>
      <c r="Z51" s="159">
        <v>1949.6</v>
      </c>
      <c r="AA51" s="160"/>
      <c r="AB51" s="160"/>
      <c r="AC51" s="159">
        <v>7935.8</v>
      </c>
      <c r="AD51" s="160"/>
      <c r="AF51" s="214"/>
    </row>
    <row r="52" spans="2:34" s="87" customFormat="1" ht="10.5" customHeight="1">
      <c r="C52" s="157">
        <v>2015</v>
      </c>
      <c r="D52" s="158"/>
      <c r="E52" s="159">
        <v>9716</v>
      </c>
      <c r="F52" s="158"/>
      <c r="G52" s="158"/>
      <c r="H52" s="161" t="s">
        <v>77</v>
      </c>
      <c r="I52" s="158"/>
      <c r="J52" s="158"/>
      <c r="K52" s="157" t="s">
        <v>78</v>
      </c>
      <c r="L52" s="157"/>
      <c r="M52" s="163"/>
      <c r="N52" s="159">
        <v>1127</v>
      </c>
      <c r="O52" s="158"/>
      <c r="P52" s="158"/>
      <c r="Q52" s="162">
        <v>65</v>
      </c>
      <c r="R52" s="158"/>
      <c r="S52" s="158"/>
      <c r="T52" s="159">
        <v>10908.2</v>
      </c>
      <c r="U52" s="160"/>
      <c r="V52" s="160"/>
      <c r="W52" s="159">
        <v>8235.2000000000007</v>
      </c>
      <c r="X52" s="160"/>
      <c r="Y52" s="160"/>
      <c r="Z52" s="159">
        <v>1963.6</v>
      </c>
      <c r="AA52" s="160"/>
      <c r="AB52" s="160"/>
      <c r="AC52" s="159">
        <v>8349.7999999999993</v>
      </c>
      <c r="AD52" s="160"/>
      <c r="AF52" s="214"/>
    </row>
    <row r="53" spans="2:34" s="87" customFormat="1" ht="17.25" customHeight="1">
      <c r="C53" s="157">
        <v>2016</v>
      </c>
      <c r="D53" s="158"/>
      <c r="E53" s="159">
        <v>9684</v>
      </c>
      <c r="F53" s="158"/>
      <c r="G53" s="158"/>
      <c r="H53" s="161" t="s">
        <v>77</v>
      </c>
      <c r="I53" s="158"/>
      <c r="J53" s="158"/>
      <c r="K53" s="157" t="s">
        <v>78</v>
      </c>
      <c r="L53" s="157"/>
      <c r="M53" s="163"/>
      <c r="N53" s="159">
        <v>1132.4460000000001</v>
      </c>
      <c r="O53" s="158">
        <v>19</v>
      </c>
      <c r="P53" s="158"/>
      <c r="Q53" s="162">
        <v>65</v>
      </c>
      <c r="R53" s="158"/>
      <c r="S53" s="158"/>
      <c r="T53" s="159">
        <v>10881.746000000001</v>
      </c>
      <c r="U53" s="160"/>
      <c r="V53" s="160"/>
      <c r="W53" s="159">
        <v>8183.7460000000001</v>
      </c>
      <c r="X53" s="160"/>
      <c r="Y53" s="160"/>
      <c r="Z53" s="159">
        <v>2009.346</v>
      </c>
      <c r="AA53" s="160"/>
      <c r="AB53" s="160"/>
      <c r="AC53" s="159">
        <v>8369.3459999999995</v>
      </c>
      <c r="AD53" s="160"/>
      <c r="AF53" s="214"/>
      <c r="AH53" s="214"/>
    </row>
    <row r="54" spans="2:34" s="87" customFormat="1" ht="10.5" customHeight="1">
      <c r="C54" s="157">
        <v>2017</v>
      </c>
      <c r="D54" s="158"/>
      <c r="E54" s="159">
        <v>9676</v>
      </c>
      <c r="F54" s="158"/>
      <c r="G54" s="158"/>
      <c r="H54" s="161" t="s">
        <v>77</v>
      </c>
      <c r="I54" s="158"/>
      <c r="J54" s="158"/>
      <c r="K54" s="157" t="s">
        <v>78</v>
      </c>
      <c r="L54" s="157"/>
      <c r="M54" s="163"/>
      <c r="N54" s="159">
        <v>1132.446000000001</v>
      </c>
      <c r="O54" s="158"/>
      <c r="P54" s="158"/>
      <c r="Q54" s="171">
        <v>65.3</v>
      </c>
      <c r="R54" s="158"/>
      <c r="S54" s="158"/>
      <c r="T54" s="159">
        <v>10873.746000000001</v>
      </c>
      <c r="U54" s="160"/>
      <c r="V54" s="160"/>
      <c r="W54" s="159">
        <v>8188.7460000000001</v>
      </c>
      <c r="X54" s="160"/>
      <c r="Y54" s="160"/>
      <c r="Z54" s="159">
        <v>2036.346</v>
      </c>
      <c r="AA54" s="160"/>
      <c r="AB54" s="160"/>
      <c r="AC54" s="159">
        <v>8432.3459999999995</v>
      </c>
      <c r="AD54" s="160"/>
      <c r="AF54" s="214"/>
      <c r="AH54" s="214"/>
    </row>
    <row r="55" spans="2:34" s="87" customFormat="1" ht="10.5" customHeight="1">
      <c r="C55" s="157">
        <v>2018</v>
      </c>
      <c r="D55" s="158"/>
      <c r="E55" s="159">
        <v>9708</v>
      </c>
      <c r="F55" s="158"/>
      <c r="G55" s="158"/>
      <c r="H55" s="161" t="s">
        <v>77</v>
      </c>
      <c r="I55" s="158"/>
      <c r="J55" s="158"/>
      <c r="K55" s="157" t="s">
        <v>78</v>
      </c>
      <c r="L55" s="157"/>
      <c r="M55" s="163"/>
      <c r="N55" s="159">
        <v>1132.4460000000001</v>
      </c>
      <c r="O55" s="158"/>
      <c r="P55" s="158"/>
      <c r="Q55" s="171">
        <v>65.099999999999994</v>
      </c>
      <c r="R55" s="158"/>
      <c r="S55" s="158"/>
      <c r="T55" s="159">
        <v>10905.546</v>
      </c>
      <c r="U55" s="160"/>
      <c r="V55" s="160"/>
      <c r="W55" s="159">
        <v>8216.746000000001</v>
      </c>
      <c r="X55" s="160"/>
      <c r="Y55" s="160"/>
      <c r="Z55" s="159">
        <v>2046.046</v>
      </c>
      <c r="AA55" s="160"/>
      <c r="AB55" s="160"/>
      <c r="AC55" s="159">
        <v>8461.3459999999995</v>
      </c>
      <c r="AD55" s="160"/>
      <c r="AF55" s="214"/>
      <c r="AH55" s="214"/>
    </row>
    <row r="56" spans="2:34" s="87" customFormat="1" ht="10.5" customHeight="1">
      <c r="C56" s="157">
        <v>2019</v>
      </c>
      <c r="D56" s="158"/>
      <c r="E56" s="159">
        <v>9701.26</v>
      </c>
      <c r="F56" s="158"/>
      <c r="G56" s="158"/>
      <c r="H56" s="161" t="s">
        <v>77</v>
      </c>
      <c r="I56" s="158"/>
      <c r="J56" s="158"/>
      <c r="K56" s="157" t="s">
        <v>78</v>
      </c>
      <c r="L56" s="157"/>
      <c r="M56" s="163"/>
      <c r="N56" s="159">
        <v>1132.4460000000001</v>
      </c>
      <c r="O56" s="158"/>
      <c r="P56" s="158"/>
      <c r="Q56" s="171">
        <v>65.3</v>
      </c>
      <c r="R56" s="158"/>
      <c r="S56" s="158"/>
      <c r="T56" s="159">
        <v>10899.005999999999</v>
      </c>
      <c r="U56" s="160"/>
      <c r="V56" s="160"/>
      <c r="W56" s="159">
        <v>8184.7460000000001</v>
      </c>
      <c r="X56" s="160"/>
      <c r="Y56" s="160"/>
      <c r="Z56" s="159">
        <v>2049.0459999999998</v>
      </c>
      <c r="AA56" s="160"/>
      <c r="AB56" s="160"/>
      <c r="AC56" s="159">
        <v>8062.3460000000005</v>
      </c>
      <c r="AD56" s="160"/>
      <c r="AF56" s="214"/>
      <c r="AH56" s="214"/>
    </row>
    <row r="57" spans="2:34" s="87" customFormat="1" ht="10.5" customHeight="1">
      <c r="C57" s="157">
        <v>2020</v>
      </c>
      <c r="D57" s="158"/>
      <c r="E57" s="159">
        <v>9711.68</v>
      </c>
      <c r="F57" s="158"/>
      <c r="G57" s="158"/>
      <c r="H57" s="161" t="s">
        <v>77</v>
      </c>
      <c r="I57" s="158"/>
      <c r="J57" s="158"/>
      <c r="K57" s="157" t="s">
        <v>78</v>
      </c>
      <c r="L57" s="157"/>
      <c r="M57" s="163"/>
      <c r="N57" s="159">
        <v>1132.4460000000001</v>
      </c>
      <c r="O57" s="158"/>
      <c r="P57" s="158"/>
      <c r="Q57" s="171">
        <v>65.3</v>
      </c>
      <c r="R57" s="158"/>
      <c r="S57" s="158"/>
      <c r="T57" s="159">
        <v>10909.426000000001</v>
      </c>
      <c r="U57" s="160"/>
      <c r="V57" s="160"/>
      <c r="W57" s="159">
        <v>8183.9459999999999</v>
      </c>
      <c r="X57" s="160"/>
      <c r="Y57" s="160"/>
      <c r="Z57" s="159">
        <v>2056.2459999999996</v>
      </c>
      <c r="AA57" s="160"/>
      <c r="AB57" s="160"/>
      <c r="AC57" s="159">
        <v>8069.3460000000005</v>
      </c>
      <c r="AD57" s="160"/>
      <c r="AF57" s="214"/>
      <c r="AH57" s="214"/>
    </row>
    <row r="58" spans="2:34" s="87" customFormat="1" ht="17.25" customHeight="1">
      <c r="C58" s="157">
        <v>2021</v>
      </c>
      <c r="D58" s="158"/>
      <c r="E58" s="159">
        <v>9714.18</v>
      </c>
      <c r="F58" s="158"/>
      <c r="G58" s="158"/>
      <c r="H58" s="161" t="s">
        <v>77</v>
      </c>
      <c r="I58" s="158"/>
      <c r="J58" s="158"/>
      <c r="K58" s="157" t="s">
        <v>78</v>
      </c>
      <c r="L58" s="157"/>
      <c r="M58" s="163"/>
      <c r="N58" s="159">
        <v>1132.4459999999999</v>
      </c>
      <c r="O58" s="158"/>
      <c r="P58" s="158"/>
      <c r="Q58" s="159">
        <v>65.5</v>
      </c>
      <c r="R58" s="158"/>
      <c r="S58" s="158"/>
      <c r="T58" s="159">
        <v>10912.126</v>
      </c>
      <c r="U58" s="160"/>
      <c r="V58" s="160"/>
      <c r="W58" s="159">
        <v>8186.1559999999999</v>
      </c>
      <c r="X58" s="160"/>
      <c r="Y58" s="160"/>
      <c r="Z58" s="159">
        <v>2058.3559999999998</v>
      </c>
      <c r="AA58" s="160"/>
      <c r="AB58" s="160"/>
      <c r="AC58" s="159">
        <v>8090.7060000000001</v>
      </c>
      <c r="AD58" s="160"/>
      <c r="AF58" s="214"/>
      <c r="AH58" s="214"/>
    </row>
    <row r="59" spans="2:34" ht="6.6" customHeight="1">
      <c r="B59" s="13"/>
      <c r="C59" s="13"/>
      <c r="D59" s="13"/>
      <c r="E59" s="13"/>
      <c r="F59" s="13"/>
      <c r="G59" s="13"/>
      <c r="H59" s="13"/>
      <c r="I59" s="13"/>
      <c r="J59" s="13"/>
      <c r="K59" s="13"/>
      <c r="L59" s="13"/>
      <c r="N59" s="13"/>
      <c r="O59" s="13"/>
      <c r="P59" s="13"/>
      <c r="Q59" s="13"/>
      <c r="R59" s="13"/>
      <c r="S59" s="13"/>
      <c r="T59" s="13"/>
      <c r="U59" s="13"/>
      <c r="V59" s="13"/>
      <c r="W59" s="13"/>
      <c r="X59" s="13"/>
      <c r="Y59" s="13"/>
      <c r="Z59" s="13"/>
      <c r="AA59" s="13"/>
      <c r="AB59" s="13"/>
      <c r="AC59" s="13"/>
      <c r="AD59" s="13"/>
    </row>
    <row r="60" spans="2:34" ht="14.25" customHeight="1">
      <c r="B60" s="474" t="s">
        <v>80</v>
      </c>
      <c r="C60" s="474"/>
      <c r="D60" s="474"/>
      <c r="E60" s="498" t="s">
        <v>81</v>
      </c>
      <c r="F60" s="498"/>
      <c r="G60" s="498"/>
      <c r="H60" s="498"/>
      <c r="I60" s="498"/>
      <c r="J60" s="498"/>
      <c r="K60" s="498"/>
      <c r="L60" s="498"/>
      <c r="M60" s="498"/>
      <c r="N60" s="498"/>
      <c r="O60" s="498"/>
      <c r="P60" s="498"/>
      <c r="Q60" s="498"/>
      <c r="R60" s="498"/>
      <c r="S60" s="498"/>
      <c r="T60" s="498"/>
      <c r="U60" s="498"/>
      <c r="V60" s="498"/>
      <c r="W60" s="498"/>
      <c r="X60" s="498"/>
      <c r="Y60" s="498"/>
      <c r="Z60" s="499"/>
      <c r="AA60" s="499"/>
      <c r="AB60" s="499"/>
      <c r="AC60" s="499"/>
      <c r="AD60" s="499"/>
    </row>
    <row r="61" spans="2:34" ht="14.25" customHeight="1">
      <c r="B61" s="474"/>
      <c r="C61" s="474"/>
      <c r="D61" s="474"/>
      <c r="E61" s="495" t="s">
        <v>82</v>
      </c>
      <c r="F61" s="496"/>
      <c r="G61" s="496"/>
      <c r="H61" s="496"/>
      <c r="I61" s="496"/>
      <c r="J61" s="496"/>
      <c r="K61" s="496"/>
      <c r="L61" s="496"/>
      <c r="M61" s="175"/>
      <c r="N61" s="498" t="s">
        <v>83</v>
      </c>
      <c r="O61" s="498"/>
      <c r="P61" s="498"/>
      <c r="Q61" s="498"/>
      <c r="R61" s="498"/>
      <c r="S61" s="176"/>
      <c r="T61" s="174" t="s">
        <v>84</v>
      </c>
      <c r="U61" s="189"/>
      <c r="V61" s="177"/>
      <c r="W61" s="495" t="s">
        <v>85</v>
      </c>
      <c r="X61" s="496"/>
      <c r="Y61" s="496"/>
      <c r="Z61" s="496"/>
      <c r="AA61" s="496"/>
      <c r="AB61" s="496"/>
      <c r="AC61" s="496"/>
      <c r="AD61" s="496"/>
    </row>
    <row r="62" spans="2:34" ht="48" customHeight="1">
      <c r="B62" s="474"/>
      <c r="C62" s="474"/>
      <c r="D62" s="474"/>
      <c r="E62" s="466" t="s">
        <v>86</v>
      </c>
      <c r="F62" s="466"/>
      <c r="G62" s="154"/>
      <c r="H62" s="466" t="s">
        <v>87</v>
      </c>
      <c r="I62" s="466"/>
      <c r="J62" s="154"/>
      <c r="K62" s="466" t="s">
        <v>88</v>
      </c>
      <c r="L62" s="466"/>
      <c r="M62" s="154"/>
      <c r="N62" s="466" t="s">
        <v>86</v>
      </c>
      <c r="O62" s="466"/>
      <c r="P62" s="154"/>
      <c r="Q62" s="466" t="s">
        <v>87</v>
      </c>
      <c r="R62" s="466"/>
      <c r="S62" s="154"/>
      <c r="T62" s="178"/>
      <c r="U62" s="178"/>
      <c r="V62" s="190"/>
      <c r="W62" s="466" t="s">
        <v>89</v>
      </c>
      <c r="X62" s="501"/>
      <c r="Y62" s="183"/>
      <c r="Z62" s="466" t="s">
        <v>90</v>
      </c>
      <c r="AA62" s="501"/>
      <c r="AB62" s="183"/>
      <c r="AC62" s="466" t="s">
        <v>91</v>
      </c>
      <c r="AD62" s="501"/>
    </row>
    <row r="63" spans="2:34" ht="14.25" customHeight="1">
      <c r="B63" s="474"/>
      <c r="C63" s="474"/>
      <c r="D63" s="474"/>
      <c r="E63" s="498" t="s">
        <v>92</v>
      </c>
      <c r="F63" s="498"/>
      <c r="G63" s="479"/>
      <c r="H63" s="498"/>
      <c r="I63" s="498"/>
      <c r="J63" s="479"/>
      <c r="K63" s="498"/>
      <c r="L63" s="498"/>
      <c r="M63" s="479"/>
      <c r="N63" s="498"/>
      <c r="O63" s="498"/>
      <c r="P63" s="479"/>
      <c r="Q63" s="498"/>
      <c r="R63" s="498"/>
      <c r="S63" s="479"/>
      <c r="T63" s="498"/>
      <c r="U63" s="498"/>
      <c r="V63" s="479"/>
      <c r="W63" s="498"/>
      <c r="X63" s="498"/>
      <c r="Y63" s="479"/>
      <c r="Z63" s="499"/>
      <c r="AA63" s="499"/>
      <c r="AB63" s="500"/>
      <c r="AC63" s="499"/>
      <c r="AD63" s="499"/>
    </row>
    <row r="64" spans="2:34" ht="27" customHeight="1"/>
    <row r="65" spans="2:30" ht="15" customHeight="1">
      <c r="B65" s="111">
        <v>1</v>
      </c>
      <c r="C65" s="16" t="s">
        <v>93</v>
      </c>
      <c r="O65" s="52">
        <v>3</v>
      </c>
      <c r="P65" s="52"/>
      <c r="Q65" s="16" t="s">
        <v>94</v>
      </c>
    </row>
    <row r="66" spans="2:30" ht="15" customHeight="1">
      <c r="C66" s="16" t="s">
        <v>489</v>
      </c>
      <c r="O66" s="16"/>
      <c r="P66" s="16"/>
      <c r="Q66" s="16" t="s">
        <v>95</v>
      </c>
    </row>
    <row r="67" spans="2:30" ht="15" customHeight="1">
      <c r="C67" s="53" t="s">
        <v>96</v>
      </c>
      <c r="O67" s="16"/>
      <c r="P67" s="16"/>
      <c r="Q67" s="53" t="s">
        <v>97</v>
      </c>
    </row>
    <row r="68" spans="2:30" ht="15" customHeight="1">
      <c r="C68" s="53"/>
      <c r="O68" s="16"/>
      <c r="P68" s="16"/>
      <c r="Q68" s="53" t="s">
        <v>98</v>
      </c>
    </row>
    <row r="69" spans="2:30" ht="15" customHeight="1">
      <c r="B69" s="111">
        <v>2</v>
      </c>
      <c r="C69" s="16" t="s">
        <v>99</v>
      </c>
      <c r="Q69" s="53" t="s">
        <v>100</v>
      </c>
    </row>
    <row r="70" spans="2:30" ht="15" customHeight="1">
      <c r="C70" s="53" t="s">
        <v>101</v>
      </c>
      <c r="Q70" s="53"/>
    </row>
    <row r="71" spans="2:30" ht="15" customHeight="1">
      <c r="C71" s="53"/>
      <c r="O71" s="52">
        <v>4</v>
      </c>
      <c r="P71" s="52"/>
      <c r="Q71" s="16" t="s">
        <v>102</v>
      </c>
      <c r="R71" s="16"/>
      <c r="S71" s="16"/>
      <c r="T71" s="16"/>
      <c r="U71" s="16"/>
      <c r="V71" s="16"/>
      <c r="W71" s="16"/>
      <c r="X71" s="16"/>
      <c r="Y71" s="16"/>
      <c r="Z71" s="16"/>
      <c r="AA71" s="16"/>
      <c r="AB71" s="16"/>
      <c r="AC71" s="16"/>
      <c r="AD71" s="16"/>
    </row>
    <row r="72" spans="2:30" ht="15" customHeight="1">
      <c r="B72" s="111"/>
      <c r="C72" s="16"/>
      <c r="Q72" s="16" t="s">
        <v>103</v>
      </c>
      <c r="R72" s="16"/>
      <c r="S72" s="16"/>
      <c r="T72" s="16"/>
    </row>
    <row r="73" spans="2:30" ht="15" customHeight="1">
      <c r="C73" s="16"/>
      <c r="Q73" s="53" t="s">
        <v>104</v>
      </c>
      <c r="R73" s="16"/>
      <c r="S73" s="16"/>
      <c r="T73" s="16"/>
      <c r="U73" s="16"/>
      <c r="V73" s="16"/>
      <c r="W73" s="16"/>
      <c r="X73" s="16"/>
      <c r="Y73" s="16"/>
      <c r="Z73" s="16"/>
      <c r="AA73" s="16"/>
      <c r="AB73" s="16"/>
      <c r="AC73" s="16"/>
      <c r="AD73" s="16"/>
    </row>
    <row r="74" spans="2:30" ht="15" customHeight="1">
      <c r="C74" s="16"/>
      <c r="Q74" s="53" t="s">
        <v>105</v>
      </c>
      <c r="R74" s="16"/>
      <c r="S74" s="16"/>
      <c r="T74" s="16"/>
      <c r="U74" s="16"/>
      <c r="V74" s="16"/>
      <c r="W74" s="16"/>
      <c r="X74" s="16"/>
      <c r="Y74" s="16"/>
      <c r="Z74" s="16"/>
      <c r="AA74" s="16"/>
      <c r="AB74" s="16"/>
      <c r="AC74" s="16"/>
      <c r="AD74" s="16"/>
    </row>
  </sheetData>
  <mergeCells count="38">
    <mergeCell ref="B9:D9"/>
    <mergeCell ref="E9:F9"/>
    <mergeCell ref="H9:I9"/>
    <mergeCell ref="B4:D7"/>
    <mergeCell ref="E4:AD4"/>
    <mergeCell ref="N5:R5"/>
    <mergeCell ref="W5:AD5"/>
    <mergeCell ref="Z6:AA6"/>
    <mergeCell ref="AC6:AD6"/>
    <mergeCell ref="E7:AD7"/>
    <mergeCell ref="E6:F6"/>
    <mergeCell ref="H6:I6"/>
    <mergeCell ref="N6:O6"/>
    <mergeCell ref="Q6:R6"/>
    <mergeCell ref="W6:X6"/>
    <mergeCell ref="AC9:AD9"/>
    <mergeCell ref="B60:D63"/>
    <mergeCell ref="E60:AD60"/>
    <mergeCell ref="N61:R61"/>
    <mergeCell ref="W61:AD61"/>
    <mergeCell ref="Q62:R62"/>
    <mergeCell ref="E63:AD63"/>
    <mergeCell ref="W62:X62"/>
    <mergeCell ref="Z62:AA62"/>
    <mergeCell ref="AC62:AD62"/>
    <mergeCell ref="E62:F62"/>
    <mergeCell ref="N62:O62"/>
    <mergeCell ref="K62:L62"/>
    <mergeCell ref="H62:I62"/>
    <mergeCell ref="K6:L6"/>
    <mergeCell ref="E5:L5"/>
    <mergeCell ref="E61:L61"/>
    <mergeCell ref="W9:X9"/>
    <mergeCell ref="Z9:AA9"/>
    <mergeCell ref="K9:M9"/>
    <mergeCell ref="N9:O9"/>
    <mergeCell ref="Q9:R9"/>
    <mergeCell ref="T9:U9"/>
  </mergeCells>
  <printOptions horizontalCentered="1"/>
  <pageMargins left="0.19685039370078741" right="0.19685039370078741" top="0.19685039370078741" bottom="0.19685039370078741" header="0" footer="0"/>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81"/>
  <sheetViews>
    <sheetView zoomScaleNormal="100" workbookViewId="0"/>
  </sheetViews>
  <sheetFormatPr defaultColWidth="9.109375" defaultRowHeight="13.8"/>
  <cols>
    <col min="1" max="1" width="0.88671875" style="11" customWidth="1"/>
    <col min="2" max="2" width="1.5546875" style="11" customWidth="1"/>
    <col min="3" max="3" width="4.33203125" style="11" customWidth="1"/>
    <col min="4" max="4" width="1.33203125" style="11" customWidth="1"/>
    <col min="5" max="5" width="7.44140625" style="11" customWidth="1"/>
    <col min="6" max="6" width="1.6640625" style="112" customWidth="1"/>
    <col min="7" max="7" width="1.109375" style="112" customWidth="1"/>
    <col min="8" max="8" width="7.44140625" style="11" customWidth="1"/>
    <col min="9" max="9" width="1.6640625" style="11" customWidth="1"/>
    <col min="10" max="10" width="1.109375" style="11" customWidth="1"/>
    <col min="11" max="11" width="7.44140625" style="11" customWidth="1"/>
    <col min="12" max="12" width="1.109375" style="112" customWidth="1"/>
    <col min="13" max="13" width="1.33203125" style="112" customWidth="1"/>
    <col min="14" max="14" width="7.88671875" style="11" customWidth="1"/>
    <col min="15" max="15" width="1.6640625" style="112" customWidth="1"/>
    <col min="16" max="16" width="1.5546875" style="112" customWidth="1"/>
    <col min="17" max="17" width="7.88671875" style="11" customWidth="1"/>
    <col min="18" max="18" width="1.6640625" style="112" customWidth="1"/>
    <col min="19" max="19" width="1.109375" style="112" customWidth="1"/>
    <col min="20" max="20" width="7.88671875" style="11" customWidth="1"/>
    <col min="21" max="21" width="1.6640625" style="112" customWidth="1"/>
    <col min="22" max="22" width="1.33203125" style="112" customWidth="1"/>
    <col min="23" max="23" width="7.88671875" style="11" customWidth="1"/>
    <col min="24" max="25" width="1.109375" style="11" customWidth="1"/>
    <col min="26" max="26" width="7.88671875" style="11" customWidth="1"/>
    <col min="27" max="28" width="1.109375" style="11" customWidth="1"/>
    <col min="29" max="29" width="7.88671875" style="11" customWidth="1"/>
    <col min="30" max="30" width="2.33203125" style="11" customWidth="1"/>
    <col min="31" max="31" width="9.109375" style="11" customWidth="1"/>
    <col min="32" max="36" width="9.109375" style="11"/>
    <col min="37" max="37" width="16.33203125" style="11" bestFit="1" customWidth="1"/>
    <col min="38" max="38" width="9.109375" style="11"/>
    <col min="39" max="39" width="16.33203125" style="11" bestFit="1" customWidth="1"/>
    <col min="40" max="40" width="9.109375" style="11"/>
    <col min="41" max="41" width="16.33203125" style="11" bestFit="1" customWidth="1"/>
    <col min="42" max="16384" width="9.109375" style="11"/>
  </cols>
  <sheetData>
    <row r="1" spans="2:35">
      <c r="B1" s="10" t="s">
        <v>1194</v>
      </c>
    </row>
    <row r="2" spans="2:35">
      <c r="B2" s="156" t="s">
        <v>1195</v>
      </c>
    </row>
    <row r="3" spans="2:35" ht="6.6" customHeight="1">
      <c r="B3" s="13"/>
      <c r="C3" s="13"/>
      <c r="D3" s="13"/>
      <c r="E3" s="13"/>
      <c r="F3" s="113"/>
      <c r="G3" s="113"/>
      <c r="H3" s="13"/>
      <c r="I3" s="13"/>
      <c r="J3" s="13"/>
      <c r="K3" s="13"/>
      <c r="L3" s="113"/>
      <c r="M3" s="113"/>
      <c r="N3" s="13"/>
      <c r="O3" s="113"/>
      <c r="P3" s="113"/>
      <c r="Q3" s="13"/>
      <c r="R3" s="113"/>
      <c r="S3" s="113"/>
      <c r="T3" s="13"/>
      <c r="U3" s="113"/>
      <c r="V3" s="113"/>
      <c r="W3" s="13"/>
      <c r="X3" s="13"/>
      <c r="Y3" s="13"/>
      <c r="Z3" s="13"/>
      <c r="AA3" s="13"/>
      <c r="AB3" s="13"/>
      <c r="AC3" s="13"/>
      <c r="AD3" s="13"/>
    </row>
    <row r="4" spans="2:35" ht="14.25" customHeight="1">
      <c r="B4" s="497" t="s">
        <v>64</v>
      </c>
      <c r="C4" s="508"/>
      <c r="D4" s="508"/>
      <c r="E4" s="504" t="s">
        <v>106</v>
      </c>
      <c r="F4" s="505"/>
      <c r="G4" s="505"/>
      <c r="H4" s="505"/>
      <c r="I4" s="505"/>
      <c r="J4" s="505"/>
      <c r="K4" s="505"/>
      <c r="L4" s="505"/>
      <c r="M4" s="61"/>
      <c r="N4" s="504" t="s">
        <v>107</v>
      </c>
      <c r="O4" s="504"/>
      <c r="P4" s="504"/>
      <c r="Q4" s="504"/>
      <c r="R4" s="504"/>
      <c r="S4" s="504"/>
      <c r="T4" s="504"/>
      <c r="U4" s="504"/>
      <c r="V4" s="504"/>
      <c r="W4" s="504"/>
      <c r="X4" s="504"/>
      <c r="Y4" s="504"/>
      <c r="Z4" s="504"/>
      <c r="AA4" s="504"/>
      <c r="AB4" s="504"/>
      <c r="AC4" s="504"/>
      <c r="AD4" s="504"/>
    </row>
    <row r="5" spans="2:35" ht="14.25" customHeight="1">
      <c r="B5" s="508"/>
      <c r="C5" s="508"/>
      <c r="D5" s="508"/>
      <c r="E5" s="504" t="s">
        <v>108</v>
      </c>
      <c r="F5" s="504"/>
      <c r="G5" s="504"/>
      <c r="H5" s="504"/>
      <c r="I5" s="504"/>
      <c r="J5" s="504"/>
      <c r="K5" s="504"/>
      <c r="L5" s="504"/>
      <c r="M5" s="42"/>
      <c r="N5" s="504" t="s">
        <v>109</v>
      </c>
      <c r="O5" s="504"/>
      <c r="P5" s="504"/>
      <c r="Q5" s="504"/>
      <c r="R5" s="504"/>
      <c r="S5" s="504"/>
      <c r="T5" s="504"/>
      <c r="U5" s="504"/>
      <c r="V5" s="42"/>
      <c r="W5" s="504" t="s">
        <v>110</v>
      </c>
      <c r="X5" s="504"/>
      <c r="Y5" s="504"/>
      <c r="Z5" s="504"/>
      <c r="AA5" s="504"/>
      <c r="AB5" s="504"/>
      <c r="AC5" s="505"/>
      <c r="AD5" s="505"/>
    </row>
    <row r="6" spans="2:35" ht="48" customHeight="1">
      <c r="B6" s="508"/>
      <c r="C6" s="508"/>
      <c r="D6" s="508"/>
      <c r="E6" s="492" t="s">
        <v>111</v>
      </c>
      <c r="F6" s="492"/>
      <c r="G6" s="116"/>
      <c r="H6" s="492" t="s">
        <v>112</v>
      </c>
      <c r="I6" s="492"/>
      <c r="J6" s="116"/>
      <c r="K6" s="492" t="s">
        <v>68</v>
      </c>
      <c r="L6" s="492"/>
      <c r="M6" s="116"/>
      <c r="N6" s="492" t="s">
        <v>113</v>
      </c>
      <c r="O6" s="492"/>
      <c r="P6" s="116"/>
      <c r="Q6" s="492" t="s">
        <v>114</v>
      </c>
      <c r="R6" s="492"/>
      <c r="S6" s="116"/>
      <c r="T6" s="492" t="s">
        <v>68</v>
      </c>
      <c r="U6" s="484"/>
      <c r="V6" s="92"/>
      <c r="W6" s="492" t="s">
        <v>113</v>
      </c>
      <c r="X6" s="484"/>
      <c r="Y6" s="92"/>
      <c r="Z6" s="492" t="s">
        <v>114</v>
      </c>
      <c r="AA6" s="484"/>
      <c r="AB6" s="92"/>
      <c r="AC6" s="492" t="s">
        <v>68</v>
      </c>
      <c r="AD6" s="484"/>
    </row>
    <row r="7" spans="2:35" ht="14.25" customHeight="1">
      <c r="B7" s="508"/>
      <c r="C7" s="508"/>
      <c r="D7" s="508"/>
      <c r="E7" s="504" t="s">
        <v>115</v>
      </c>
      <c r="F7" s="505"/>
      <c r="G7" s="512"/>
      <c r="H7" s="505"/>
      <c r="I7" s="505"/>
      <c r="J7" s="512"/>
      <c r="K7" s="505"/>
      <c r="L7" s="505"/>
      <c r="M7" s="61"/>
      <c r="N7" s="503" t="s">
        <v>116</v>
      </c>
      <c r="O7" s="503"/>
      <c r="P7" s="497"/>
      <c r="Q7" s="503"/>
      <c r="R7" s="503"/>
      <c r="S7" s="497"/>
      <c r="T7" s="503"/>
      <c r="U7" s="503"/>
      <c r="V7" s="497"/>
      <c r="W7" s="503"/>
      <c r="X7" s="503"/>
      <c r="Y7" s="497"/>
      <c r="Z7" s="503"/>
      <c r="AA7" s="503"/>
      <c r="AB7" s="497"/>
      <c r="AC7" s="503"/>
      <c r="AD7" s="503"/>
    </row>
    <row r="8" spans="2:35" ht="4.5" customHeight="1">
      <c r="E8" s="42"/>
      <c r="F8" s="61"/>
      <c r="G8" s="61"/>
      <c r="H8" s="61"/>
      <c r="I8" s="61"/>
      <c r="J8" s="61"/>
      <c r="K8" s="61"/>
      <c r="L8" s="61"/>
      <c r="M8" s="61"/>
      <c r="N8" s="59"/>
      <c r="O8" s="59"/>
      <c r="P8" s="59"/>
      <c r="Q8" s="59"/>
      <c r="R8" s="59"/>
      <c r="S8" s="59"/>
      <c r="T8" s="59"/>
      <c r="U8" s="59"/>
      <c r="V8" s="59"/>
      <c r="W8" s="59"/>
      <c r="X8" s="59"/>
      <c r="Y8" s="59"/>
      <c r="Z8" s="59"/>
      <c r="AA8" s="59"/>
      <c r="AB8" s="59"/>
      <c r="AC8" s="59"/>
      <c r="AD8" s="59"/>
    </row>
    <row r="9" spans="2:35" ht="12" customHeight="1">
      <c r="B9" s="497">
        <v>1</v>
      </c>
      <c r="C9" s="502"/>
      <c r="D9" s="502"/>
      <c r="E9" s="497">
        <v>11</v>
      </c>
      <c r="F9" s="497"/>
      <c r="G9" s="42"/>
      <c r="H9" s="497">
        <v>12</v>
      </c>
      <c r="I9" s="497"/>
      <c r="J9" s="42"/>
      <c r="K9" s="497">
        <v>13</v>
      </c>
      <c r="L9" s="497"/>
      <c r="M9" s="42"/>
      <c r="N9" s="497">
        <v>14</v>
      </c>
      <c r="O9" s="497"/>
      <c r="P9" s="42"/>
      <c r="Q9" s="497">
        <v>15</v>
      </c>
      <c r="R9" s="497"/>
      <c r="S9" s="42"/>
      <c r="T9" s="497">
        <v>16</v>
      </c>
      <c r="U9" s="497"/>
      <c r="V9" s="42"/>
      <c r="W9" s="497">
        <v>17</v>
      </c>
      <c r="X9" s="497"/>
      <c r="Y9" s="42"/>
      <c r="Z9" s="497">
        <v>18</v>
      </c>
      <c r="AA9" s="497"/>
      <c r="AB9" s="42"/>
      <c r="AC9" s="497">
        <v>19</v>
      </c>
      <c r="AD9" s="497"/>
    </row>
    <row r="10" spans="2:35" ht="4.5" customHeight="1">
      <c r="B10" s="13"/>
      <c r="C10" s="107"/>
      <c r="D10" s="109"/>
      <c r="E10" s="80"/>
      <c r="F10" s="109"/>
      <c r="G10" s="109"/>
      <c r="H10" s="80"/>
      <c r="I10" s="108"/>
      <c r="J10" s="108"/>
      <c r="K10" s="80"/>
      <c r="L10" s="109"/>
      <c r="M10" s="109"/>
      <c r="N10" s="80"/>
      <c r="O10" s="109"/>
      <c r="P10" s="109"/>
      <c r="Q10" s="80"/>
      <c r="R10" s="109"/>
      <c r="S10" s="109"/>
      <c r="T10" s="80"/>
      <c r="U10" s="109"/>
      <c r="V10" s="109"/>
      <c r="W10" s="80"/>
      <c r="X10" s="108"/>
      <c r="Y10" s="108"/>
      <c r="Z10" s="80"/>
      <c r="AA10" s="107"/>
      <c r="AB10" s="107"/>
      <c r="AC10" s="80"/>
      <c r="AD10" s="108"/>
    </row>
    <row r="11" spans="2:35" ht="10.5" customHeight="1">
      <c r="C11" s="17">
        <v>1856</v>
      </c>
      <c r="D11" s="78"/>
      <c r="E11" s="17" t="s">
        <v>78</v>
      </c>
      <c r="F11" s="78"/>
      <c r="G11" s="78"/>
      <c r="H11" s="17" t="s">
        <v>78</v>
      </c>
      <c r="I11" s="52"/>
      <c r="J11" s="52"/>
      <c r="K11" s="17" t="s">
        <v>78</v>
      </c>
      <c r="L11" s="27"/>
      <c r="M11" s="27"/>
      <c r="N11" s="17" t="s">
        <v>78</v>
      </c>
      <c r="O11" s="78"/>
      <c r="P11" s="78"/>
      <c r="Q11" s="17" t="s">
        <v>78</v>
      </c>
      <c r="R11" s="78"/>
      <c r="S11" s="78"/>
      <c r="T11" s="17" t="s">
        <v>78</v>
      </c>
      <c r="U11" s="27"/>
      <c r="V11" s="27"/>
      <c r="W11" s="17" t="s">
        <v>78</v>
      </c>
      <c r="X11" s="52"/>
      <c r="Y11" s="52"/>
      <c r="Z11" s="17" t="s">
        <v>78</v>
      </c>
      <c r="AA11" s="16"/>
      <c r="AB11" s="16"/>
      <c r="AC11" s="17" t="s">
        <v>78</v>
      </c>
      <c r="AD11" s="52"/>
    </row>
    <row r="12" spans="2:35" ht="10.5" customHeight="1">
      <c r="C12" s="17">
        <v>1860</v>
      </c>
      <c r="D12" s="78"/>
      <c r="E12" s="17" t="s">
        <v>78</v>
      </c>
      <c r="F12" s="78"/>
      <c r="G12" s="78"/>
      <c r="H12" s="17" t="s">
        <v>78</v>
      </c>
      <c r="I12" s="52"/>
      <c r="J12" s="52"/>
      <c r="K12" s="17" t="s">
        <v>78</v>
      </c>
      <c r="L12" s="27"/>
      <c r="M12" s="27"/>
      <c r="N12" s="17" t="s">
        <v>78</v>
      </c>
      <c r="O12" s="78"/>
      <c r="P12" s="78"/>
      <c r="Q12" s="17" t="s">
        <v>78</v>
      </c>
      <c r="R12" s="78"/>
      <c r="S12" s="78"/>
      <c r="T12" s="17" t="s">
        <v>78</v>
      </c>
      <c r="U12" s="27"/>
      <c r="V12" s="27"/>
      <c r="W12" s="17" t="s">
        <v>78</v>
      </c>
      <c r="X12" s="52"/>
      <c r="Y12" s="52"/>
      <c r="Z12" s="17" t="s">
        <v>78</v>
      </c>
      <c r="AA12" s="16"/>
      <c r="AB12" s="16"/>
      <c r="AC12" s="17" t="s">
        <v>78</v>
      </c>
      <c r="AD12" s="52"/>
    </row>
    <row r="13" spans="2:35" ht="10.5" customHeight="1">
      <c r="C13" s="17">
        <v>1870</v>
      </c>
      <c r="D13" s="78"/>
      <c r="E13" s="17" t="s">
        <v>78</v>
      </c>
      <c r="F13" s="78"/>
      <c r="G13" s="78"/>
      <c r="H13" s="17" t="s">
        <v>78</v>
      </c>
      <c r="I13" s="52"/>
      <c r="J13" s="52"/>
      <c r="K13" s="17" t="s">
        <v>78</v>
      </c>
      <c r="L13" s="27"/>
      <c r="M13" s="27"/>
      <c r="N13" s="17" t="s">
        <v>78</v>
      </c>
      <c r="O13" s="78"/>
      <c r="P13" s="78"/>
      <c r="Q13" s="17" t="s">
        <v>78</v>
      </c>
      <c r="R13" s="78"/>
      <c r="S13" s="78"/>
      <c r="T13" s="17" t="s">
        <v>78</v>
      </c>
      <c r="U13" s="27"/>
      <c r="V13" s="27"/>
      <c r="W13" s="17" t="s">
        <v>78</v>
      </c>
      <c r="X13" s="52"/>
      <c r="Y13" s="52"/>
      <c r="Z13" s="17" t="s">
        <v>78</v>
      </c>
      <c r="AA13" s="16"/>
      <c r="AB13" s="16"/>
      <c r="AC13" s="17" t="s">
        <v>78</v>
      </c>
      <c r="AD13" s="52"/>
    </row>
    <row r="14" spans="2:35" ht="10.5" customHeight="1">
      <c r="C14" s="17">
        <v>1880</v>
      </c>
      <c r="D14" s="78"/>
      <c r="E14" s="17" t="s">
        <v>78</v>
      </c>
      <c r="F14" s="78"/>
      <c r="G14" s="78"/>
      <c r="H14" s="17" t="s">
        <v>78</v>
      </c>
      <c r="I14" s="52"/>
      <c r="J14" s="52"/>
      <c r="K14" s="17" t="s">
        <v>78</v>
      </c>
      <c r="L14" s="27"/>
      <c r="M14" s="27"/>
      <c r="N14" s="17" t="s">
        <v>78</v>
      </c>
      <c r="O14" s="78"/>
      <c r="P14" s="78"/>
      <c r="Q14" s="17" t="s">
        <v>78</v>
      </c>
      <c r="R14" s="78"/>
      <c r="S14" s="78"/>
      <c r="T14" s="17" t="s">
        <v>78</v>
      </c>
      <c r="U14" s="27"/>
      <c r="V14" s="27"/>
      <c r="W14" s="17" t="s">
        <v>78</v>
      </c>
      <c r="X14" s="52"/>
      <c r="Y14" s="52"/>
      <c r="Z14" s="17" t="s">
        <v>78</v>
      </c>
      <c r="AA14" s="16"/>
      <c r="AB14" s="16"/>
      <c r="AC14" s="17" t="s">
        <v>78</v>
      </c>
      <c r="AD14" s="52"/>
      <c r="AH14" s="507"/>
      <c r="AI14" s="508"/>
    </row>
    <row r="15" spans="2:35" ht="10.5" customHeight="1">
      <c r="C15" s="17">
        <v>1890</v>
      </c>
      <c r="D15" s="78"/>
      <c r="E15" s="17" t="s">
        <v>78</v>
      </c>
      <c r="F15" s="78"/>
      <c r="G15" s="78"/>
      <c r="H15" s="17" t="s">
        <v>78</v>
      </c>
      <c r="I15" s="52"/>
      <c r="J15" s="52"/>
      <c r="K15" s="17" t="s">
        <v>78</v>
      </c>
      <c r="L15" s="27"/>
      <c r="M15" s="27"/>
      <c r="N15" s="17" t="s">
        <v>78</v>
      </c>
      <c r="O15" s="78"/>
      <c r="P15" s="78"/>
      <c r="Q15" s="17" t="s">
        <v>78</v>
      </c>
      <c r="R15" s="78"/>
      <c r="S15" s="78"/>
      <c r="T15" s="17" t="s">
        <v>78</v>
      </c>
      <c r="U15" s="27"/>
      <c r="V15" s="27"/>
      <c r="W15" s="17" t="s">
        <v>78</v>
      </c>
      <c r="X15" s="52"/>
      <c r="Y15" s="52"/>
      <c r="Z15" s="17" t="s">
        <v>78</v>
      </c>
      <c r="AA15" s="16"/>
      <c r="AB15" s="16"/>
      <c r="AC15" s="17" t="s">
        <v>78</v>
      </c>
      <c r="AD15" s="52"/>
      <c r="AH15" s="509"/>
      <c r="AI15" s="510"/>
    </row>
    <row r="16" spans="2:35" ht="6.6" customHeight="1">
      <c r="C16" s="17"/>
      <c r="D16" s="78"/>
      <c r="E16" s="17"/>
      <c r="F16" s="78"/>
      <c r="G16" s="78"/>
      <c r="H16" s="17"/>
      <c r="I16" s="52"/>
      <c r="J16" s="52"/>
      <c r="K16" s="17"/>
      <c r="L16" s="27"/>
      <c r="M16" s="27"/>
      <c r="N16" s="17"/>
      <c r="O16" s="78"/>
      <c r="P16" s="78"/>
      <c r="Q16" s="17"/>
      <c r="R16" s="78"/>
      <c r="S16" s="78"/>
      <c r="T16" s="17"/>
      <c r="U16" s="27"/>
      <c r="V16" s="27"/>
      <c r="W16" s="17"/>
      <c r="X16" s="52"/>
      <c r="Y16" s="52"/>
      <c r="Z16" s="17"/>
      <c r="AA16" s="16"/>
      <c r="AB16" s="16"/>
      <c r="AC16" s="17"/>
      <c r="AD16" s="52"/>
    </row>
    <row r="17" spans="3:30" ht="10.5" customHeight="1">
      <c r="C17" s="17">
        <v>1900</v>
      </c>
      <c r="D17" s="78"/>
      <c r="E17" s="17" t="s">
        <v>78</v>
      </c>
      <c r="F17" s="78"/>
      <c r="G17" s="78"/>
      <c r="H17" s="17" t="s">
        <v>78</v>
      </c>
      <c r="I17" s="52"/>
      <c r="J17" s="52"/>
      <c r="K17" s="17" t="s">
        <v>78</v>
      </c>
      <c r="L17" s="27"/>
      <c r="M17" s="27"/>
      <c r="N17" s="17" t="s">
        <v>78</v>
      </c>
      <c r="O17" s="78"/>
      <c r="P17" s="78"/>
      <c r="Q17" s="17" t="s">
        <v>78</v>
      </c>
      <c r="R17" s="78"/>
      <c r="S17" s="78"/>
      <c r="T17" s="17" t="s">
        <v>78</v>
      </c>
      <c r="U17" s="27"/>
      <c r="V17" s="27"/>
      <c r="W17" s="17" t="s">
        <v>78</v>
      </c>
      <c r="X17" s="52"/>
      <c r="Y17" s="52"/>
      <c r="Z17" s="17" t="s">
        <v>78</v>
      </c>
      <c r="AA17" s="16"/>
      <c r="AB17" s="16"/>
      <c r="AC17" s="17" t="s">
        <v>78</v>
      </c>
      <c r="AD17" s="52"/>
    </row>
    <row r="18" spans="3:30" ht="10.5" customHeight="1">
      <c r="C18" s="17">
        <v>1910</v>
      </c>
      <c r="D18" s="78"/>
      <c r="E18" s="17" t="s">
        <v>78</v>
      </c>
      <c r="F18" s="78"/>
      <c r="G18" s="78"/>
      <c r="H18" s="17" t="s">
        <v>78</v>
      </c>
      <c r="I18" s="52"/>
      <c r="J18" s="52"/>
      <c r="K18" s="17" t="s">
        <v>78</v>
      </c>
      <c r="N18" s="17" t="s">
        <v>78</v>
      </c>
      <c r="O18" s="78"/>
      <c r="P18" s="78"/>
      <c r="Q18" s="17" t="s">
        <v>78</v>
      </c>
      <c r="R18" s="78"/>
      <c r="S18" s="507" t="s">
        <v>117</v>
      </c>
      <c r="T18" s="511"/>
      <c r="U18" s="511"/>
      <c r="V18" s="511"/>
      <c r="W18" s="17" t="s">
        <v>78</v>
      </c>
      <c r="X18" s="52"/>
      <c r="Y18" s="52"/>
      <c r="Z18" s="17" t="s">
        <v>78</v>
      </c>
      <c r="AC18" s="75">
        <v>46331</v>
      </c>
      <c r="AD18" s="52"/>
    </row>
    <row r="19" spans="3:30" ht="10.5" customHeight="1">
      <c r="C19" s="17">
        <v>1920</v>
      </c>
      <c r="D19" s="78"/>
      <c r="E19" s="17" t="s">
        <v>78</v>
      </c>
      <c r="F19" s="78"/>
      <c r="G19" s="78"/>
      <c r="H19" s="17" t="s">
        <v>78</v>
      </c>
      <c r="I19" s="52"/>
      <c r="J19" s="52"/>
      <c r="K19" s="17" t="s">
        <v>78</v>
      </c>
      <c r="L19" s="6"/>
      <c r="M19" s="6"/>
      <c r="N19" s="17" t="s">
        <v>78</v>
      </c>
      <c r="O19" s="78"/>
      <c r="P19" s="78"/>
      <c r="Q19" s="17" t="s">
        <v>78</v>
      </c>
      <c r="R19" s="78"/>
      <c r="S19" s="507" t="s">
        <v>118</v>
      </c>
      <c r="T19" s="511" t="s">
        <v>118</v>
      </c>
      <c r="U19" s="511"/>
      <c r="V19" s="511"/>
      <c r="W19" s="17" t="s">
        <v>78</v>
      </c>
      <c r="X19" s="52"/>
      <c r="Y19" s="52"/>
      <c r="Z19" s="17" t="s">
        <v>78</v>
      </c>
      <c r="AA19" s="156"/>
      <c r="AB19" s="156"/>
      <c r="AC19" s="75">
        <v>62493</v>
      </c>
      <c r="AD19" s="52"/>
    </row>
    <row r="20" spans="3:30" ht="10.5" customHeight="1">
      <c r="C20" s="17">
        <v>1930</v>
      </c>
      <c r="D20" s="78"/>
      <c r="E20" s="17" t="s">
        <v>78</v>
      </c>
      <c r="F20" s="78"/>
      <c r="G20" s="78"/>
      <c r="H20" s="17" t="s">
        <v>78</v>
      </c>
      <c r="I20" s="52"/>
      <c r="J20" s="52"/>
      <c r="K20" s="17" t="s">
        <v>78</v>
      </c>
      <c r="L20" s="78"/>
      <c r="M20" s="78"/>
      <c r="N20" s="17" t="s">
        <v>78</v>
      </c>
      <c r="O20" s="78"/>
      <c r="P20" s="78"/>
      <c r="Q20" s="17" t="s">
        <v>78</v>
      </c>
      <c r="R20" s="78"/>
      <c r="S20" s="78"/>
      <c r="T20" s="17" t="s">
        <v>119</v>
      </c>
      <c r="U20" s="78"/>
      <c r="V20" s="78"/>
      <c r="W20" s="17" t="s">
        <v>78</v>
      </c>
      <c r="X20" s="52"/>
      <c r="Y20" s="52"/>
      <c r="Z20" s="17" t="s">
        <v>78</v>
      </c>
      <c r="AA20" s="52"/>
      <c r="AB20" s="52"/>
      <c r="AC20" s="75">
        <v>50976</v>
      </c>
      <c r="AD20" s="52"/>
    </row>
    <row r="21" spans="3:30" ht="10.5" customHeight="1">
      <c r="C21" s="17">
        <v>1940</v>
      </c>
      <c r="D21" s="78"/>
      <c r="E21" s="17" t="s">
        <v>78</v>
      </c>
      <c r="F21" s="78"/>
      <c r="G21" s="78"/>
      <c r="H21" s="17" t="s">
        <v>78</v>
      </c>
      <c r="I21" s="52"/>
      <c r="J21" s="52"/>
      <c r="K21" s="17" t="s">
        <v>78</v>
      </c>
      <c r="L21" s="78"/>
      <c r="M21" s="78"/>
      <c r="N21" s="17" t="s">
        <v>78</v>
      </c>
      <c r="O21" s="78"/>
      <c r="P21" s="78"/>
      <c r="Q21" s="17" t="s">
        <v>78</v>
      </c>
      <c r="R21" s="78"/>
      <c r="S21" s="78"/>
      <c r="T21" s="17" t="s">
        <v>119</v>
      </c>
      <c r="U21" s="78"/>
      <c r="V21" s="78"/>
      <c r="W21" s="17" t="s">
        <v>78</v>
      </c>
      <c r="X21" s="52"/>
      <c r="Y21" s="52"/>
      <c r="Z21" s="17" t="s">
        <v>78</v>
      </c>
      <c r="AA21" s="52"/>
      <c r="AB21" s="52"/>
      <c r="AC21" s="75">
        <v>52205</v>
      </c>
      <c r="AD21" s="52"/>
    </row>
    <row r="22" spans="3:30" ht="6.6" customHeight="1">
      <c r="C22" s="17"/>
      <c r="D22" s="78"/>
      <c r="E22" s="17"/>
      <c r="F22" s="78"/>
      <c r="G22" s="78"/>
      <c r="H22" s="17"/>
      <c r="I22" s="52"/>
      <c r="J22" s="52"/>
      <c r="K22" s="17"/>
      <c r="L22" s="78"/>
      <c r="M22" s="78"/>
      <c r="N22" s="17"/>
      <c r="O22" s="78"/>
      <c r="P22" s="78"/>
      <c r="Q22" s="17"/>
      <c r="R22" s="78"/>
      <c r="S22" s="78"/>
      <c r="T22" s="17"/>
      <c r="U22" s="78"/>
      <c r="V22" s="78"/>
      <c r="W22" s="17"/>
      <c r="X22" s="52"/>
      <c r="Y22" s="52"/>
      <c r="Z22" s="17"/>
      <c r="AA22" s="52"/>
      <c r="AB22" s="52"/>
      <c r="AC22" s="17"/>
      <c r="AD22" s="52"/>
    </row>
    <row r="23" spans="3:30" ht="10.5" customHeight="1">
      <c r="C23" s="17">
        <v>1950</v>
      </c>
      <c r="D23" s="78"/>
      <c r="E23" s="17" t="s">
        <v>78</v>
      </c>
      <c r="F23" s="78"/>
      <c r="G23" s="78"/>
      <c r="H23" s="17" t="s">
        <v>78</v>
      </c>
      <c r="I23" s="52"/>
      <c r="J23" s="52"/>
      <c r="K23" s="17" t="s">
        <v>78</v>
      </c>
      <c r="L23" s="78"/>
      <c r="M23" s="78"/>
      <c r="N23" s="17" t="s">
        <v>78</v>
      </c>
      <c r="O23" s="78"/>
      <c r="P23" s="78"/>
      <c r="Q23" s="17" t="s">
        <v>78</v>
      </c>
      <c r="R23" s="78"/>
      <c r="S23" s="78"/>
      <c r="T23" s="17" t="s">
        <v>119</v>
      </c>
      <c r="U23" s="78"/>
      <c r="V23" s="78"/>
      <c r="W23" s="17" t="s">
        <v>78</v>
      </c>
      <c r="X23" s="52"/>
      <c r="Y23" s="52"/>
      <c r="Z23" s="17" t="s">
        <v>78</v>
      </c>
      <c r="AA23" s="52"/>
      <c r="AB23" s="52"/>
      <c r="AC23" s="75">
        <v>70764</v>
      </c>
      <c r="AD23" s="52"/>
    </row>
    <row r="24" spans="3:30" ht="10.5" customHeight="1">
      <c r="C24" s="17">
        <v>1960</v>
      </c>
      <c r="D24" s="78"/>
      <c r="E24" s="17" t="s">
        <v>78</v>
      </c>
      <c r="F24" s="78"/>
      <c r="G24" s="78"/>
      <c r="H24" s="17" t="s">
        <v>78</v>
      </c>
      <c r="I24" s="52"/>
      <c r="J24" s="52"/>
      <c r="K24" s="17" t="s">
        <v>78</v>
      </c>
      <c r="L24" s="78"/>
      <c r="M24" s="78"/>
      <c r="N24" s="17" t="s">
        <v>78</v>
      </c>
      <c r="O24" s="78"/>
      <c r="P24" s="78"/>
      <c r="Q24" s="17" t="s">
        <v>78</v>
      </c>
      <c r="R24" s="78"/>
      <c r="S24" s="78"/>
      <c r="T24" s="17" t="s">
        <v>119</v>
      </c>
      <c r="U24" s="78"/>
      <c r="V24" s="78"/>
      <c r="W24" s="17" t="s">
        <v>78</v>
      </c>
      <c r="X24" s="52"/>
      <c r="Y24" s="52"/>
      <c r="Z24" s="17" t="s">
        <v>78</v>
      </c>
      <c r="AA24" s="52"/>
      <c r="AB24" s="52"/>
      <c r="AC24" s="75">
        <v>59307</v>
      </c>
      <c r="AD24" s="52"/>
    </row>
    <row r="25" spans="3:30" ht="10.5" customHeight="1">
      <c r="C25" s="17">
        <v>1970</v>
      </c>
      <c r="D25" s="78"/>
      <c r="E25" s="17" t="s">
        <v>78</v>
      </c>
      <c r="F25" s="78"/>
      <c r="G25" s="78"/>
      <c r="H25" s="17" t="s">
        <v>78</v>
      </c>
      <c r="I25" s="52"/>
      <c r="J25" s="52"/>
      <c r="K25" s="17" t="s">
        <v>78</v>
      </c>
      <c r="L25" s="78"/>
      <c r="M25" s="78"/>
      <c r="N25" s="17" t="s">
        <v>78</v>
      </c>
      <c r="O25" s="78"/>
      <c r="P25" s="78"/>
      <c r="Q25" s="17" t="s">
        <v>78</v>
      </c>
      <c r="R25" s="78"/>
      <c r="S25" s="78"/>
      <c r="T25" s="17" t="s">
        <v>119</v>
      </c>
      <c r="U25" s="78"/>
      <c r="V25" s="78"/>
      <c r="W25" s="17" t="s">
        <v>78</v>
      </c>
      <c r="X25" s="52"/>
      <c r="Y25" s="52"/>
      <c r="Z25" s="17" t="s">
        <v>78</v>
      </c>
      <c r="AA25" s="52"/>
      <c r="AB25" s="52"/>
      <c r="AC25" s="75">
        <v>44973</v>
      </c>
      <c r="AD25" s="52"/>
    </row>
    <row r="26" spans="3:30" ht="10.5" customHeight="1">
      <c r="C26" s="17">
        <v>1980</v>
      </c>
      <c r="D26" s="78"/>
      <c r="E26" s="17" t="s">
        <v>78</v>
      </c>
      <c r="F26" s="78"/>
      <c r="G26" s="78"/>
      <c r="H26" s="17" t="s">
        <v>78</v>
      </c>
      <c r="I26" s="52"/>
      <c r="J26" s="52"/>
      <c r="K26" s="17" t="s">
        <v>78</v>
      </c>
      <c r="L26" s="78"/>
      <c r="M26" s="78"/>
      <c r="N26" s="17" t="s">
        <v>78</v>
      </c>
      <c r="O26" s="78"/>
      <c r="P26" s="78"/>
      <c r="Q26" s="17" t="s">
        <v>78</v>
      </c>
      <c r="R26" s="78"/>
      <c r="S26" s="78"/>
      <c r="T26" s="17" t="s">
        <v>119</v>
      </c>
      <c r="U26" s="78"/>
      <c r="V26" s="78"/>
      <c r="W26" s="17" t="s">
        <v>78</v>
      </c>
      <c r="X26" s="52"/>
      <c r="Y26" s="52"/>
      <c r="Z26" s="17" t="s">
        <v>78</v>
      </c>
      <c r="AA26" s="52"/>
      <c r="AB26" s="52"/>
      <c r="AC26" s="75">
        <v>36762</v>
      </c>
      <c r="AD26" s="23">
        <v>2</v>
      </c>
    </row>
    <row r="27" spans="3:30" ht="10.5" customHeight="1">
      <c r="C27" s="17">
        <v>1990</v>
      </c>
      <c r="D27" s="78"/>
      <c r="E27" s="17" t="s">
        <v>78</v>
      </c>
      <c r="F27" s="78"/>
      <c r="G27" s="78"/>
      <c r="H27" s="17" t="s">
        <v>78</v>
      </c>
      <c r="I27" s="52"/>
      <c r="J27" s="52"/>
      <c r="K27" s="17" t="s">
        <v>78</v>
      </c>
      <c r="L27" s="78"/>
      <c r="M27" s="78"/>
      <c r="N27" s="17" t="s">
        <v>78</v>
      </c>
      <c r="O27" s="78"/>
      <c r="P27" s="78"/>
      <c r="Q27" s="17" t="s">
        <v>78</v>
      </c>
      <c r="R27" s="78"/>
      <c r="S27" s="78"/>
      <c r="T27" s="75">
        <v>7724</v>
      </c>
      <c r="U27" s="78"/>
      <c r="V27" s="78"/>
      <c r="W27" s="17" t="s">
        <v>78</v>
      </c>
      <c r="X27" s="52"/>
      <c r="Y27" s="52"/>
      <c r="Z27" s="17" t="s">
        <v>78</v>
      </c>
      <c r="AA27" s="52"/>
      <c r="AB27" s="52"/>
      <c r="AC27" s="114">
        <v>21472</v>
      </c>
      <c r="AD27" s="166" t="s">
        <v>120</v>
      </c>
    </row>
    <row r="28" spans="3:30" s="87" customFormat="1" ht="17.25" customHeight="1">
      <c r="C28" s="157">
        <v>1991</v>
      </c>
      <c r="D28" s="160"/>
      <c r="E28" s="159">
        <v>2326</v>
      </c>
      <c r="F28" s="160"/>
      <c r="G28" s="160"/>
      <c r="H28" s="159">
        <v>13235</v>
      </c>
      <c r="I28" s="158"/>
      <c r="J28" s="158"/>
      <c r="K28" s="159">
        <v>15561</v>
      </c>
      <c r="L28" s="160"/>
      <c r="M28" s="160"/>
      <c r="N28" s="157" t="s">
        <v>78</v>
      </c>
      <c r="O28" s="160"/>
      <c r="P28" s="160"/>
      <c r="Q28" s="157" t="s">
        <v>78</v>
      </c>
      <c r="R28" s="160"/>
      <c r="S28" s="160"/>
      <c r="T28" s="161">
        <v>7843</v>
      </c>
      <c r="U28" s="160"/>
      <c r="V28" s="160"/>
      <c r="W28" s="157" t="s">
        <v>78</v>
      </c>
      <c r="X28" s="158"/>
      <c r="Y28" s="158"/>
      <c r="Z28" s="157" t="s">
        <v>78</v>
      </c>
      <c r="AA28" s="158"/>
      <c r="AB28" s="158"/>
      <c r="AC28" s="161">
        <v>19028</v>
      </c>
      <c r="AD28" s="166">
        <v>7</v>
      </c>
    </row>
    <row r="29" spans="3:30" ht="10.5" customHeight="1">
      <c r="C29" s="17">
        <v>1992</v>
      </c>
      <c r="D29" s="78"/>
      <c r="E29" s="28">
        <v>2334</v>
      </c>
      <c r="F29" s="78"/>
      <c r="G29" s="78"/>
      <c r="H29" s="28">
        <v>12582</v>
      </c>
      <c r="I29" s="52"/>
      <c r="J29" s="52"/>
      <c r="K29" s="28">
        <v>14916</v>
      </c>
      <c r="L29" s="78"/>
      <c r="M29" s="78"/>
      <c r="N29" s="17" t="s">
        <v>78</v>
      </c>
      <c r="O29" s="78"/>
      <c r="P29" s="78"/>
      <c r="Q29" s="17" t="s">
        <v>78</v>
      </c>
      <c r="R29" s="78"/>
      <c r="S29" s="78"/>
      <c r="T29" s="75">
        <v>7633</v>
      </c>
      <c r="U29" s="78"/>
      <c r="V29" s="78"/>
      <c r="W29" s="17" t="s">
        <v>78</v>
      </c>
      <c r="X29" s="52"/>
      <c r="Y29" s="52"/>
      <c r="Z29" s="17" t="s">
        <v>78</v>
      </c>
      <c r="AA29" s="52"/>
      <c r="AB29" s="52"/>
      <c r="AC29" s="75">
        <v>17923</v>
      </c>
      <c r="AD29" s="78"/>
    </row>
    <row r="30" spans="3:30" ht="10.5" customHeight="1">
      <c r="C30" s="17">
        <v>1993</v>
      </c>
      <c r="D30" s="78"/>
      <c r="E30" s="28">
        <v>2391</v>
      </c>
      <c r="F30" s="78"/>
      <c r="G30" s="78"/>
      <c r="H30" s="28">
        <v>12143</v>
      </c>
      <c r="I30" s="52"/>
      <c r="J30" s="52"/>
      <c r="K30" s="28">
        <v>14534</v>
      </c>
      <c r="L30" s="78"/>
      <c r="M30" s="78"/>
      <c r="N30" s="17" t="s">
        <v>78</v>
      </c>
      <c r="O30" s="78"/>
      <c r="P30" s="78"/>
      <c r="Q30" s="17" t="s">
        <v>78</v>
      </c>
      <c r="R30" s="78"/>
      <c r="S30" s="78"/>
      <c r="T30" s="75">
        <v>7085</v>
      </c>
      <c r="U30" s="78"/>
      <c r="V30" s="78"/>
      <c r="W30" s="17" t="s">
        <v>78</v>
      </c>
      <c r="X30" s="52"/>
      <c r="Y30" s="52"/>
      <c r="Z30" s="17" t="s">
        <v>78</v>
      </c>
      <c r="AA30" s="52"/>
      <c r="AB30" s="52"/>
      <c r="AC30" s="75">
        <v>16288</v>
      </c>
      <c r="AD30" s="78"/>
    </row>
    <row r="31" spans="3:30" ht="10.5" customHeight="1">
      <c r="C31" s="17">
        <v>1994</v>
      </c>
      <c r="D31" s="78"/>
      <c r="E31" s="28">
        <v>2444</v>
      </c>
      <c r="F31" s="78"/>
      <c r="G31" s="78"/>
      <c r="H31" s="28">
        <v>11209</v>
      </c>
      <c r="I31" s="52"/>
      <c r="J31" s="52"/>
      <c r="K31" s="28">
        <v>13653</v>
      </c>
      <c r="L31" s="78"/>
      <c r="M31" s="78"/>
      <c r="N31" s="17" t="s">
        <v>78</v>
      </c>
      <c r="O31" s="78"/>
      <c r="P31" s="78"/>
      <c r="Q31" s="17" t="s">
        <v>78</v>
      </c>
      <c r="R31" s="78"/>
      <c r="S31" s="78"/>
      <c r="T31" s="75">
        <v>7341</v>
      </c>
      <c r="U31" s="78"/>
      <c r="V31" s="78"/>
      <c r="W31" s="17" t="s">
        <v>78</v>
      </c>
      <c r="X31" s="52"/>
      <c r="Y31" s="52"/>
      <c r="Z31" s="17" t="s">
        <v>78</v>
      </c>
      <c r="AA31" s="52"/>
      <c r="AB31" s="52"/>
      <c r="AC31" s="75">
        <v>15024</v>
      </c>
      <c r="AD31" s="78"/>
    </row>
    <row r="32" spans="3:30" ht="10.5" customHeight="1">
      <c r="C32" s="17">
        <v>1995</v>
      </c>
      <c r="D32" s="78"/>
      <c r="E32" s="28">
        <v>2515</v>
      </c>
      <c r="F32" s="78"/>
      <c r="G32" s="78"/>
      <c r="H32" s="28">
        <v>11795</v>
      </c>
      <c r="I32" s="52"/>
      <c r="J32" s="52"/>
      <c r="K32" s="28">
        <v>14310</v>
      </c>
      <c r="L32" s="78"/>
      <c r="M32" s="78"/>
      <c r="N32" s="17" t="s">
        <v>78</v>
      </c>
      <c r="O32" s="78"/>
      <c r="P32" s="78"/>
      <c r="Q32" s="17" t="s">
        <v>78</v>
      </c>
      <c r="R32" s="78"/>
      <c r="S32" s="78"/>
      <c r="T32" s="75">
        <v>7537</v>
      </c>
      <c r="U32" s="78"/>
      <c r="V32" s="78"/>
      <c r="W32" s="17" t="s">
        <v>78</v>
      </c>
      <c r="X32" s="52"/>
      <c r="Y32" s="52"/>
      <c r="Z32" s="17" t="s">
        <v>78</v>
      </c>
      <c r="AA32" s="52"/>
      <c r="AB32" s="52"/>
      <c r="AC32" s="75">
        <v>14653</v>
      </c>
      <c r="AD32" s="78"/>
    </row>
    <row r="33" spans="3:42" s="87" customFormat="1" ht="17.25" customHeight="1">
      <c r="C33" s="157">
        <v>1996</v>
      </c>
      <c r="D33" s="160"/>
      <c r="E33" s="159">
        <v>2515</v>
      </c>
      <c r="F33" s="160"/>
      <c r="G33" s="160"/>
      <c r="H33" s="159">
        <v>11169</v>
      </c>
      <c r="I33" s="158"/>
      <c r="J33" s="158"/>
      <c r="K33" s="159">
        <v>13684</v>
      </c>
      <c r="L33" s="160"/>
      <c r="M33" s="160"/>
      <c r="N33" s="157" t="s">
        <v>78</v>
      </c>
      <c r="O33" s="160"/>
      <c r="P33" s="160"/>
      <c r="Q33" s="157" t="s">
        <v>78</v>
      </c>
      <c r="R33" s="160"/>
      <c r="S33" s="160"/>
      <c r="T33" s="161">
        <v>7343</v>
      </c>
      <c r="U33" s="160"/>
      <c r="V33" s="160"/>
      <c r="W33" s="157" t="s">
        <v>78</v>
      </c>
      <c r="X33" s="158"/>
      <c r="Y33" s="158"/>
      <c r="Z33" s="157" t="s">
        <v>78</v>
      </c>
      <c r="AA33" s="158"/>
      <c r="AB33" s="158"/>
      <c r="AC33" s="161">
        <v>14271</v>
      </c>
      <c r="AD33" s="160"/>
      <c r="AJ33" s="281"/>
      <c r="AK33" s="281"/>
      <c r="AL33" s="281"/>
      <c r="AM33" s="281"/>
      <c r="AN33" s="281"/>
      <c r="AO33" s="281"/>
      <c r="AP33" s="281"/>
    </row>
    <row r="34" spans="3:42" ht="10.5" customHeight="1">
      <c r="C34" s="17">
        <v>1997</v>
      </c>
      <c r="D34" s="78"/>
      <c r="E34" s="28">
        <v>2715</v>
      </c>
      <c r="F34" s="78"/>
      <c r="G34" s="78"/>
      <c r="H34" s="28">
        <v>10889</v>
      </c>
      <c r="I34" s="52"/>
      <c r="J34" s="52"/>
      <c r="K34" s="28">
        <v>13604</v>
      </c>
      <c r="L34" s="78"/>
      <c r="M34" s="78"/>
      <c r="N34" s="17" t="s">
        <v>78</v>
      </c>
      <c r="O34" s="78"/>
      <c r="P34" s="78"/>
      <c r="Q34" s="17" t="s">
        <v>78</v>
      </c>
      <c r="R34" s="78"/>
      <c r="S34" s="78"/>
      <c r="T34" s="75">
        <v>6807</v>
      </c>
      <c r="U34" s="78"/>
      <c r="V34" s="78"/>
      <c r="W34" s="17" t="s">
        <v>78</v>
      </c>
      <c r="X34" s="52"/>
      <c r="Y34" s="52"/>
      <c r="Z34" s="17" t="s">
        <v>78</v>
      </c>
      <c r="AA34" s="52"/>
      <c r="AB34" s="52"/>
      <c r="AC34" s="75">
        <v>13745</v>
      </c>
      <c r="AD34" s="78"/>
      <c r="AJ34" s="281"/>
      <c r="AK34" s="404"/>
      <c r="AL34" s="281"/>
      <c r="AM34" s="404"/>
      <c r="AN34" s="283"/>
      <c r="AO34" s="283"/>
      <c r="AP34" s="283"/>
    </row>
    <row r="35" spans="3:42" ht="10.5" customHeight="1">
      <c r="C35" s="17">
        <v>1998</v>
      </c>
      <c r="D35" s="78"/>
      <c r="E35" s="28">
        <v>2785</v>
      </c>
      <c r="F35" s="78"/>
      <c r="G35" s="78"/>
      <c r="H35" s="28">
        <v>10713</v>
      </c>
      <c r="I35" s="52"/>
      <c r="J35" s="52"/>
      <c r="K35" s="28">
        <v>13498</v>
      </c>
      <c r="L35" s="78"/>
      <c r="M35" s="78"/>
      <c r="N35" s="17" t="s">
        <v>78</v>
      </c>
      <c r="O35" s="78"/>
      <c r="P35" s="78"/>
      <c r="Q35" s="17" t="s">
        <v>78</v>
      </c>
      <c r="R35" s="78"/>
      <c r="S35" s="78"/>
      <c r="T35" s="75">
        <v>6133</v>
      </c>
      <c r="U35" s="78"/>
      <c r="V35" s="78"/>
      <c r="W35" s="17" t="s">
        <v>78</v>
      </c>
      <c r="X35" s="52"/>
      <c r="Y35" s="52"/>
      <c r="Z35" s="17" t="s">
        <v>78</v>
      </c>
      <c r="AA35" s="52"/>
      <c r="AB35" s="52"/>
      <c r="AC35" s="75">
        <v>12765</v>
      </c>
      <c r="AD35" s="78"/>
      <c r="AJ35" s="16"/>
      <c r="AK35" s="16"/>
      <c r="AL35" s="16"/>
      <c r="AM35" s="16"/>
      <c r="AN35" s="16"/>
      <c r="AO35" s="16"/>
      <c r="AP35" s="16"/>
    </row>
    <row r="36" spans="3:42" ht="10.5" customHeight="1">
      <c r="C36" s="17">
        <v>1999</v>
      </c>
      <c r="D36" s="78"/>
      <c r="E36" s="28">
        <v>2932</v>
      </c>
      <c r="F36" s="78"/>
      <c r="G36" s="78"/>
      <c r="H36" s="28">
        <v>10371</v>
      </c>
      <c r="I36" s="52"/>
      <c r="J36" s="52"/>
      <c r="K36" s="28">
        <v>13303</v>
      </c>
      <c r="L36" s="27"/>
      <c r="M36" s="27"/>
      <c r="N36" s="17" t="s">
        <v>78</v>
      </c>
      <c r="O36" s="78"/>
      <c r="P36" s="78"/>
      <c r="Q36" s="17" t="s">
        <v>78</v>
      </c>
      <c r="R36" s="78"/>
      <c r="S36" s="78"/>
      <c r="T36" s="75">
        <v>5972</v>
      </c>
      <c r="U36" s="27"/>
      <c r="V36" s="27"/>
      <c r="W36" s="17" t="s">
        <v>78</v>
      </c>
      <c r="X36" s="52"/>
      <c r="Y36" s="52"/>
      <c r="Z36" s="17" t="s">
        <v>78</v>
      </c>
      <c r="AA36" s="16"/>
      <c r="AB36" s="16"/>
      <c r="AC36" s="114">
        <v>12270</v>
      </c>
      <c r="AD36" s="27"/>
      <c r="AJ36" s="64"/>
      <c r="AK36" s="27"/>
      <c r="AL36" s="64"/>
      <c r="AM36" s="27"/>
      <c r="AN36" s="17"/>
      <c r="AO36" s="17"/>
      <c r="AP36" s="17"/>
    </row>
    <row r="37" spans="3:42" ht="10.5" customHeight="1">
      <c r="C37" s="17">
        <v>2000</v>
      </c>
      <c r="D37" s="78"/>
      <c r="E37" s="28">
        <v>2934</v>
      </c>
      <c r="F37" s="78"/>
      <c r="G37" s="78"/>
      <c r="H37" s="28">
        <v>10159</v>
      </c>
      <c r="I37" s="52"/>
      <c r="J37" s="52"/>
      <c r="K37" s="28">
        <v>13093</v>
      </c>
      <c r="L37" s="78"/>
      <c r="M37" s="78"/>
      <c r="N37" s="17" t="s">
        <v>78</v>
      </c>
      <c r="O37" s="78"/>
      <c r="P37" s="78"/>
      <c r="Q37" s="17" t="s">
        <v>78</v>
      </c>
      <c r="R37" s="78"/>
      <c r="S37" s="78"/>
      <c r="T37" s="75">
        <v>5731</v>
      </c>
      <c r="U37" s="78"/>
      <c r="V37" s="78"/>
      <c r="W37" s="17" t="s">
        <v>78</v>
      </c>
      <c r="X37" s="52"/>
      <c r="Y37" s="52"/>
      <c r="Z37" s="17" t="s">
        <v>78</v>
      </c>
      <c r="AA37" s="52"/>
      <c r="AB37" s="52"/>
      <c r="AC37" s="75">
        <v>8768</v>
      </c>
      <c r="AD37" s="23">
        <v>12</v>
      </c>
      <c r="AJ37" s="26"/>
      <c r="AK37" s="78"/>
      <c r="AL37" s="26"/>
      <c r="AM37" s="27"/>
      <c r="AN37" s="26"/>
      <c r="AO37" s="17"/>
      <c r="AP37" s="26"/>
    </row>
    <row r="38" spans="3:42" s="87" customFormat="1" ht="17.25" customHeight="1">
      <c r="C38" s="157">
        <v>2001</v>
      </c>
      <c r="D38" s="160"/>
      <c r="E38" s="159">
        <v>2939</v>
      </c>
      <c r="F38" s="160"/>
      <c r="G38" s="160"/>
      <c r="H38" s="159">
        <v>9957</v>
      </c>
      <c r="I38" s="158"/>
      <c r="J38" s="158"/>
      <c r="K38" s="159">
        <v>12896</v>
      </c>
      <c r="L38" s="160"/>
      <c r="M38" s="160"/>
      <c r="N38" s="157" t="s">
        <v>78</v>
      </c>
      <c r="O38" s="160"/>
      <c r="P38" s="160"/>
      <c r="Q38" s="157" t="s">
        <v>78</v>
      </c>
      <c r="R38" s="160"/>
      <c r="S38" s="160"/>
      <c r="T38" s="159">
        <v>5544</v>
      </c>
      <c r="U38" s="160"/>
      <c r="V38" s="160"/>
      <c r="W38" s="157" t="s">
        <v>78</v>
      </c>
      <c r="X38" s="158"/>
      <c r="Y38" s="158"/>
      <c r="Z38" s="157" t="s">
        <v>78</v>
      </c>
      <c r="AA38" s="158"/>
      <c r="AB38" s="158"/>
      <c r="AC38" s="159">
        <v>9381</v>
      </c>
      <c r="AD38" s="164"/>
      <c r="AJ38" s="26"/>
      <c r="AK38" s="78"/>
      <c r="AL38" s="26"/>
      <c r="AM38" s="27"/>
      <c r="AN38" s="26"/>
      <c r="AO38" s="17"/>
      <c r="AP38" s="26"/>
    </row>
    <row r="39" spans="3:42" ht="10.5" customHeight="1">
      <c r="C39" s="17">
        <v>2002</v>
      </c>
      <c r="D39" s="78"/>
      <c r="E39" s="28">
        <v>2977</v>
      </c>
      <c r="F39" s="78"/>
      <c r="G39" s="78"/>
      <c r="H39" s="28">
        <v>9820</v>
      </c>
      <c r="I39" s="52"/>
      <c r="J39" s="52"/>
      <c r="K39" s="28">
        <v>12797</v>
      </c>
      <c r="L39" s="78"/>
      <c r="M39" s="78"/>
      <c r="N39" s="28">
        <v>716</v>
      </c>
      <c r="O39" s="78"/>
      <c r="P39" s="78"/>
      <c r="Q39" s="28">
        <v>4653</v>
      </c>
      <c r="R39" s="78"/>
      <c r="S39" s="78"/>
      <c r="T39" s="28">
        <v>5369</v>
      </c>
      <c r="U39" s="78"/>
      <c r="V39" s="78"/>
      <c r="W39" s="28">
        <v>2479.998275862069</v>
      </c>
      <c r="X39" s="52"/>
      <c r="Y39" s="52"/>
      <c r="Z39" s="28">
        <v>7206.001724137931</v>
      </c>
      <c r="AA39" s="52"/>
      <c r="AB39" s="52"/>
      <c r="AC39" s="28">
        <v>9686</v>
      </c>
      <c r="AD39" s="78"/>
      <c r="AJ39" s="26"/>
      <c r="AK39" s="78"/>
      <c r="AL39" s="26"/>
      <c r="AM39" s="27"/>
      <c r="AN39" s="26"/>
      <c r="AO39" s="17"/>
      <c r="AP39" s="26"/>
    </row>
    <row r="40" spans="3:42" ht="10.5" customHeight="1">
      <c r="C40" s="17">
        <v>2003</v>
      </c>
      <c r="D40" s="78"/>
      <c r="E40" s="28">
        <v>2988</v>
      </c>
      <c r="F40" s="78"/>
      <c r="G40" s="78"/>
      <c r="H40" s="28">
        <v>9740</v>
      </c>
      <c r="I40" s="52"/>
      <c r="J40" s="52"/>
      <c r="K40" s="28">
        <v>12728</v>
      </c>
      <c r="L40" s="78"/>
      <c r="M40" s="78"/>
      <c r="N40" s="28">
        <v>801</v>
      </c>
      <c r="O40" s="78"/>
      <c r="P40" s="78"/>
      <c r="Q40" s="28">
        <v>4715</v>
      </c>
      <c r="R40" s="78"/>
      <c r="S40" s="78"/>
      <c r="T40" s="28">
        <v>5516</v>
      </c>
      <c r="U40" s="78"/>
      <c r="V40" s="78"/>
      <c r="W40" s="28">
        <v>2451.5500000000002</v>
      </c>
      <c r="X40" s="52"/>
      <c r="Y40" s="52"/>
      <c r="Z40" s="28">
        <v>7146.6166666666659</v>
      </c>
      <c r="AA40" s="52"/>
      <c r="AB40" s="52"/>
      <c r="AC40" s="28">
        <v>9598.1666666666661</v>
      </c>
      <c r="AD40" s="78"/>
      <c r="AJ40" s="65"/>
      <c r="AK40" s="27"/>
      <c r="AL40" s="65"/>
      <c r="AM40" s="27"/>
      <c r="AN40" s="17"/>
      <c r="AO40" s="17"/>
      <c r="AP40" s="17"/>
    </row>
    <row r="41" spans="3:42" ht="10.5" customHeight="1">
      <c r="C41" s="17">
        <v>2004</v>
      </c>
      <c r="D41" s="78"/>
      <c r="E41" s="28">
        <v>3007</v>
      </c>
      <c r="F41" s="78"/>
      <c r="G41" s="78"/>
      <c r="H41" s="28">
        <v>9722</v>
      </c>
      <c r="I41" s="52"/>
      <c r="J41" s="52"/>
      <c r="K41" s="28">
        <v>12729</v>
      </c>
      <c r="L41" s="78"/>
      <c r="M41" s="78"/>
      <c r="N41" s="28">
        <v>834</v>
      </c>
      <c r="O41" s="78"/>
      <c r="P41" s="78"/>
      <c r="Q41" s="28">
        <v>4610</v>
      </c>
      <c r="R41" s="78"/>
      <c r="S41" s="78"/>
      <c r="T41" s="28">
        <v>5444</v>
      </c>
      <c r="U41" s="78"/>
      <c r="V41" s="78"/>
      <c r="W41" s="28">
        <v>2628</v>
      </c>
      <c r="X41" s="52"/>
      <c r="Y41" s="52"/>
      <c r="Z41" s="28">
        <v>7218.5</v>
      </c>
      <c r="AA41" s="52"/>
      <c r="AB41" s="52"/>
      <c r="AC41" s="28">
        <v>9846.5</v>
      </c>
      <c r="AD41" s="78"/>
      <c r="AJ41" s="28"/>
      <c r="AK41" s="27"/>
      <c r="AL41" s="28"/>
      <c r="AM41" s="27"/>
      <c r="AN41" s="17"/>
      <c r="AO41" s="17"/>
      <c r="AP41" s="17"/>
    </row>
    <row r="42" spans="3:42" ht="10.5" customHeight="1">
      <c r="C42" s="17">
        <v>2005</v>
      </c>
      <c r="D42" s="78"/>
      <c r="E42" s="28">
        <v>3017</v>
      </c>
      <c r="F42" s="78"/>
      <c r="G42" s="78"/>
      <c r="H42" s="28">
        <v>9643</v>
      </c>
      <c r="I42" s="52"/>
      <c r="J42" s="52"/>
      <c r="K42" s="28">
        <v>12660</v>
      </c>
      <c r="L42" s="78"/>
      <c r="M42" s="78"/>
      <c r="N42" s="28">
        <v>888</v>
      </c>
      <c r="O42" s="78"/>
      <c r="P42" s="78"/>
      <c r="Q42" s="28">
        <v>4518</v>
      </c>
      <c r="R42" s="78"/>
      <c r="S42" s="78"/>
      <c r="T42" s="28">
        <v>5406</v>
      </c>
      <c r="U42" s="78"/>
      <c r="V42" s="78"/>
      <c r="W42" s="28">
        <v>2527.5</v>
      </c>
      <c r="X42" s="52"/>
      <c r="Y42" s="52"/>
      <c r="Z42" s="28">
        <v>7190.5</v>
      </c>
      <c r="AA42" s="52"/>
      <c r="AB42" s="52"/>
      <c r="AC42" s="28">
        <v>9718</v>
      </c>
      <c r="AD42" s="78"/>
      <c r="AJ42" s="28"/>
      <c r="AK42" s="27"/>
      <c r="AL42" s="28"/>
      <c r="AM42" s="27"/>
      <c r="AN42" s="17"/>
      <c r="AO42" s="17"/>
      <c r="AP42" s="17"/>
    </row>
    <row r="43" spans="3:42" s="87" customFormat="1" ht="17.25" customHeight="1">
      <c r="C43" s="157">
        <v>2006</v>
      </c>
      <c r="D43" s="160"/>
      <c r="E43" s="159">
        <v>3026</v>
      </c>
      <c r="F43" s="160"/>
      <c r="G43" s="160"/>
      <c r="H43" s="159">
        <v>9581</v>
      </c>
      <c r="I43" s="158"/>
      <c r="J43" s="158"/>
      <c r="K43" s="159">
        <v>12607</v>
      </c>
      <c r="L43" s="160"/>
      <c r="M43" s="160"/>
      <c r="N43" s="159">
        <v>933</v>
      </c>
      <c r="O43" s="160"/>
      <c r="P43" s="160"/>
      <c r="Q43" s="159">
        <v>4449</v>
      </c>
      <c r="R43" s="160"/>
      <c r="S43" s="160"/>
      <c r="T43" s="159">
        <v>5382</v>
      </c>
      <c r="U43" s="160"/>
      <c r="V43" s="160"/>
      <c r="W43" s="159">
        <v>2708.5</v>
      </c>
      <c r="X43" s="158"/>
      <c r="Y43" s="158"/>
      <c r="Z43" s="159">
        <v>7448</v>
      </c>
      <c r="AA43" s="158"/>
      <c r="AB43" s="158"/>
      <c r="AC43" s="159">
        <v>10156.5</v>
      </c>
      <c r="AD43" s="160"/>
      <c r="AJ43" s="28"/>
      <c r="AK43" s="27"/>
      <c r="AL43" s="28"/>
      <c r="AM43" s="27"/>
      <c r="AN43" s="28"/>
      <c r="AO43" s="78"/>
      <c r="AP43" s="28"/>
    </row>
    <row r="44" spans="3:42" ht="10.5" customHeight="1">
      <c r="C44" s="17">
        <v>2007</v>
      </c>
      <c r="D44" s="78"/>
      <c r="E44" s="28">
        <v>3037</v>
      </c>
      <c r="F44" s="78"/>
      <c r="G44" s="78"/>
      <c r="H44" s="28">
        <v>8151</v>
      </c>
      <c r="I44" s="52"/>
      <c r="J44" s="52"/>
      <c r="K44" s="28">
        <v>11188</v>
      </c>
      <c r="L44" s="78"/>
      <c r="M44" s="78"/>
      <c r="N44" s="28">
        <v>1081</v>
      </c>
      <c r="O44" s="78"/>
      <c r="P44" s="78"/>
      <c r="Q44" s="28">
        <v>4589</v>
      </c>
      <c r="R44" s="78"/>
      <c r="S44" s="78"/>
      <c r="T44" s="28">
        <v>5670</v>
      </c>
      <c r="U44" s="78"/>
      <c r="V44" s="78"/>
      <c r="W44" s="28">
        <v>3075.5</v>
      </c>
      <c r="X44" s="52"/>
      <c r="Y44" s="52"/>
      <c r="Z44" s="28">
        <v>7267.8</v>
      </c>
      <c r="AA44" s="52"/>
      <c r="AB44" s="52"/>
      <c r="AC44" s="28">
        <v>10343.299999999999</v>
      </c>
      <c r="AD44" s="78"/>
      <c r="AF44" s="82"/>
      <c r="AG44" s="82"/>
      <c r="AH44" s="82"/>
      <c r="AI44" s="82"/>
      <c r="AJ44" s="28"/>
      <c r="AK44" s="27"/>
      <c r="AL44" s="28"/>
      <c r="AM44" s="27"/>
      <c r="AN44" s="28"/>
      <c r="AO44" s="78"/>
      <c r="AP44" s="28"/>
    </row>
    <row r="45" spans="3:42" ht="10.5" customHeight="1">
      <c r="C45" s="17">
        <v>2008</v>
      </c>
      <c r="D45" s="78"/>
      <c r="E45" s="28">
        <v>3037</v>
      </c>
      <c r="F45" s="78"/>
      <c r="G45" s="78"/>
      <c r="H45" s="28">
        <v>8056</v>
      </c>
      <c r="I45" s="52"/>
      <c r="J45" s="52"/>
      <c r="K45" s="28">
        <v>11093</v>
      </c>
      <c r="L45" s="78"/>
      <c r="M45" s="78"/>
      <c r="N45" s="28">
        <v>1125</v>
      </c>
      <c r="O45" s="78"/>
      <c r="P45" s="78"/>
      <c r="Q45" s="28">
        <v>4691</v>
      </c>
      <c r="R45" s="78"/>
      <c r="S45" s="78"/>
      <c r="T45" s="28">
        <v>5816</v>
      </c>
      <c r="U45" s="78"/>
      <c r="V45" s="78"/>
      <c r="W45" s="28">
        <v>3288.5</v>
      </c>
      <c r="X45" s="52"/>
      <c r="Y45" s="52"/>
      <c r="Z45" s="28">
        <v>7574</v>
      </c>
      <c r="AA45" s="52"/>
      <c r="AB45" s="52"/>
      <c r="AC45" s="28">
        <v>10862.5</v>
      </c>
      <c r="AD45" s="52"/>
      <c r="AF45" s="82"/>
      <c r="AG45" s="82"/>
      <c r="AH45" s="82"/>
      <c r="AI45" s="82"/>
      <c r="AJ45" s="65"/>
      <c r="AK45" s="27"/>
      <c r="AL45" s="261"/>
      <c r="AM45" s="27"/>
      <c r="AN45" s="261"/>
      <c r="AO45" s="78"/>
      <c r="AP45" s="261"/>
    </row>
    <row r="46" spans="3:42" ht="10.5" customHeight="1">
      <c r="C46" s="17">
        <v>2009</v>
      </c>
      <c r="D46" s="78"/>
      <c r="E46" s="28">
        <v>3048</v>
      </c>
      <c r="F46" s="78"/>
      <c r="G46" s="78"/>
      <c r="H46" s="28">
        <v>7796</v>
      </c>
      <c r="I46" s="52"/>
      <c r="J46" s="52"/>
      <c r="K46" s="28">
        <v>10844</v>
      </c>
      <c r="L46" s="78"/>
      <c r="M46" s="78"/>
      <c r="N46" s="115">
        <v>1126</v>
      </c>
      <c r="O46" s="78"/>
      <c r="P46" s="78"/>
      <c r="Q46" s="115">
        <v>4551</v>
      </c>
      <c r="R46" s="78"/>
      <c r="S46" s="78"/>
      <c r="T46" s="115">
        <v>5677</v>
      </c>
      <c r="U46" s="23"/>
      <c r="V46" s="23"/>
      <c r="W46" s="28">
        <v>3359</v>
      </c>
      <c r="X46" s="52"/>
      <c r="Y46" s="52"/>
      <c r="Z46" s="28">
        <v>7672</v>
      </c>
      <c r="AA46" s="52"/>
      <c r="AB46" s="52"/>
      <c r="AC46" s="28">
        <v>11031</v>
      </c>
      <c r="AD46" s="52"/>
      <c r="AF46" s="82"/>
      <c r="AG46" s="82"/>
      <c r="AH46" s="82"/>
      <c r="AI46" s="82"/>
      <c r="AJ46" s="82"/>
      <c r="AK46" s="82"/>
      <c r="AL46" s="82"/>
      <c r="AM46" s="82"/>
      <c r="AN46" s="82"/>
      <c r="AO46" s="82"/>
      <c r="AP46" s="82"/>
    </row>
    <row r="47" spans="3:42" ht="10.5" customHeight="1">
      <c r="C47" s="17">
        <v>2010</v>
      </c>
      <c r="D47" s="78"/>
      <c r="E47" s="28">
        <v>3056</v>
      </c>
      <c r="F47" s="78"/>
      <c r="G47" s="78"/>
      <c r="H47" s="28">
        <v>7654</v>
      </c>
      <c r="I47" s="52"/>
      <c r="J47" s="52"/>
      <c r="K47" s="28">
        <v>10710</v>
      </c>
      <c r="L47" s="78"/>
      <c r="M47" s="78"/>
      <c r="N47" s="28">
        <v>252</v>
      </c>
      <c r="O47" s="23">
        <v>16</v>
      </c>
      <c r="P47" s="23"/>
      <c r="Q47" s="28">
        <v>2749</v>
      </c>
      <c r="R47" s="23">
        <v>16</v>
      </c>
      <c r="S47" s="23"/>
      <c r="T47" s="28">
        <v>3001</v>
      </c>
      <c r="U47" s="23">
        <v>16</v>
      </c>
      <c r="V47" s="23"/>
      <c r="W47" s="28">
        <v>3614</v>
      </c>
      <c r="X47" s="23"/>
      <c r="Y47" s="23"/>
      <c r="Z47" s="28">
        <v>7961</v>
      </c>
      <c r="AA47" s="23"/>
      <c r="AB47" s="23"/>
      <c r="AC47" s="28">
        <v>11575</v>
      </c>
      <c r="AD47" s="23"/>
      <c r="AE47" s="82"/>
      <c r="AF47" s="82"/>
      <c r="AG47" s="82"/>
      <c r="AH47" s="82"/>
      <c r="AI47" s="82"/>
      <c r="AJ47" s="82"/>
      <c r="AK47" s="82"/>
      <c r="AL47" s="82"/>
      <c r="AM47" s="82"/>
      <c r="AN47" s="82"/>
      <c r="AO47" s="82"/>
      <c r="AP47" s="82"/>
    </row>
    <row r="48" spans="3:42" s="87" customFormat="1" ht="17.25" customHeight="1">
      <c r="C48" s="157">
        <v>2011</v>
      </c>
      <c r="D48" s="160"/>
      <c r="E48" s="159">
        <v>3062</v>
      </c>
      <c r="F48" s="160"/>
      <c r="G48" s="160"/>
      <c r="H48" s="159">
        <v>7582</v>
      </c>
      <c r="I48" s="158"/>
      <c r="J48" s="158"/>
      <c r="K48" s="159">
        <v>10644</v>
      </c>
      <c r="L48" s="160"/>
      <c r="M48" s="160"/>
      <c r="N48" s="159">
        <v>256</v>
      </c>
      <c r="O48" s="160"/>
      <c r="P48" s="160"/>
      <c r="Q48" s="159">
        <v>2532</v>
      </c>
      <c r="R48" s="160"/>
      <c r="S48" s="160"/>
      <c r="T48" s="159">
        <v>2788</v>
      </c>
      <c r="U48" s="160"/>
      <c r="V48" s="160"/>
      <c r="W48" s="159">
        <v>3801</v>
      </c>
      <c r="X48" s="158"/>
      <c r="Y48" s="158"/>
      <c r="Z48" s="159">
        <v>8092</v>
      </c>
      <c r="AA48" s="158"/>
      <c r="AB48" s="158"/>
      <c r="AC48" s="159">
        <v>11893</v>
      </c>
      <c r="AD48" s="158"/>
      <c r="AE48" s="82"/>
      <c r="AF48" s="82"/>
      <c r="AG48" s="82"/>
      <c r="AH48" s="82"/>
      <c r="AI48" s="82"/>
      <c r="AJ48" s="82"/>
      <c r="AK48" s="82"/>
      <c r="AL48" s="82"/>
      <c r="AM48" s="82"/>
      <c r="AN48" s="82"/>
      <c r="AO48" s="82"/>
      <c r="AP48" s="82"/>
    </row>
    <row r="49" spans="2:42" s="87" customFormat="1" ht="10.5" customHeight="1">
      <c r="C49" s="157">
        <v>2012</v>
      </c>
      <c r="D49" s="160"/>
      <c r="E49" s="28">
        <v>3086</v>
      </c>
      <c r="F49" s="78"/>
      <c r="G49" s="78"/>
      <c r="H49" s="28">
        <v>7380</v>
      </c>
      <c r="I49" s="52"/>
      <c r="J49" s="52"/>
      <c r="K49" s="28">
        <v>10466</v>
      </c>
      <c r="L49" s="160"/>
      <c r="M49" s="160"/>
      <c r="N49" s="159">
        <v>249</v>
      </c>
      <c r="O49" s="160"/>
      <c r="P49" s="160"/>
      <c r="Q49" s="159">
        <v>2459</v>
      </c>
      <c r="R49" s="160"/>
      <c r="S49" s="160"/>
      <c r="T49" s="159">
        <v>2708</v>
      </c>
      <c r="U49" s="160"/>
      <c r="V49" s="160"/>
      <c r="W49" s="159">
        <v>4072.7202805562265</v>
      </c>
      <c r="X49" s="158"/>
      <c r="Y49" s="158"/>
      <c r="Z49" s="159">
        <v>7773.2797194437735</v>
      </c>
      <c r="AA49" s="158"/>
      <c r="AB49" s="158"/>
      <c r="AC49" s="159">
        <v>11846</v>
      </c>
      <c r="AD49" s="158"/>
      <c r="AJ49" s="281"/>
      <c r="AK49" s="281"/>
      <c r="AL49" s="281"/>
      <c r="AM49" s="281"/>
      <c r="AN49" s="281"/>
      <c r="AO49" s="281"/>
      <c r="AP49" s="281"/>
    </row>
    <row r="50" spans="2:42" s="87" customFormat="1" ht="10.5" customHeight="1">
      <c r="C50" s="157">
        <v>2013</v>
      </c>
      <c r="D50" s="160"/>
      <c r="E50" s="28">
        <v>3092</v>
      </c>
      <c r="F50" s="78"/>
      <c r="G50" s="78"/>
      <c r="H50" s="28">
        <v>7355</v>
      </c>
      <c r="I50" s="52"/>
      <c r="J50" s="52"/>
      <c r="K50" s="28">
        <v>10447</v>
      </c>
      <c r="L50" s="160"/>
      <c r="M50" s="160"/>
      <c r="N50" s="159">
        <v>236</v>
      </c>
      <c r="O50" s="160"/>
      <c r="P50" s="160"/>
      <c r="Q50" s="159">
        <v>2314</v>
      </c>
      <c r="R50" s="160"/>
      <c r="S50" s="160"/>
      <c r="T50" s="159">
        <v>2550</v>
      </c>
      <c r="U50" s="160"/>
      <c r="V50" s="160"/>
      <c r="W50" s="159">
        <v>4150</v>
      </c>
      <c r="X50" s="158"/>
      <c r="Y50" s="158"/>
      <c r="Z50" s="159">
        <v>7890</v>
      </c>
      <c r="AA50" s="158"/>
      <c r="AB50" s="158"/>
      <c r="AC50" s="159">
        <v>12040</v>
      </c>
      <c r="AD50" s="158"/>
      <c r="AJ50" s="16"/>
      <c r="AK50" s="16"/>
      <c r="AL50" s="16"/>
      <c r="AM50" s="16"/>
      <c r="AN50" s="16"/>
      <c r="AO50" s="16"/>
      <c r="AP50" s="16"/>
    </row>
    <row r="51" spans="2:42" s="87" customFormat="1" ht="10.5" customHeight="1">
      <c r="C51" s="157">
        <v>2014</v>
      </c>
      <c r="D51" s="160"/>
      <c r="E51" s="28">
        <v>3085</v>
      </c>
      <c r="F51" s="78"/>
      <c r="G51" s="78"/>
      <c r="H51" s="28">
        <v>7293</v>
      </c>
      <c r="I51" s="52"/>
      <c r="J51" s="52"/>
      <c r="K51" s="28">
        <v>10378</v>
      </c>
      <c r="L51" s="160"/>
      <c r="M51" s="160"/>
      <c r="N51" s="159">
        <v>73</v>
      </c>
      <c r="O51" s="78"/>
      <c r="P51" s="160"/>
      <c r="Q51" s="159">
        <v>1848</v>
      </c>
      <c r="R51" s="78"/>
      <c r="S51" s="160"/>
      <c r="T51" s="159">
        <v>1921</v>
      </c>
      <c r="U51" s="78"/>
      <c r="V51" s="160"/>
      <c r="W51" s="159">
        <v>3924</v>
      </c>
      <c r="X51" s="158"/>
      <c r="Y51" s="159"/>
      <c r="Z51" s="159">
        <v>7783</v>
      </c>
      <c r="AA51" s="23"/>
      <c r="AB51" s="159"/>
      <c r="AC51" s="159">
        <v>11707</v>
      </c>
      <c r="AD51" s="23"/>
      <c r="AJ51" s="16"/>
      <c r="AK51" s="16"/>
      <c r="AL51" s="16"/>
      <c r="AM51" s="16"/>
      <c r="AN51" s="16"/>
      <c r="AO51" s="16"/>
      <c r="AP51" s="16"/>
    </row>
    <row r="52" spans="2:42" s="87" customFormat="1" ht="10.5" customHeight="1">
      <c r="C52" s="157">
        <v>2015</v>
      </c>
      <c r="D52" s="160"/>
      <c r="E52" s="28">
        <v>3088</v>
      </c>
      <c r="F52" s="78"/>
      <c r="G52" s="78"/>
      <c r="H52" s="28">
        <v>7203</v>
      </c>
      <c r="I52" s="23">
        <v>11</v>
      </c>
      <c r="J52" s="52"/>
      <c r="K52" s="28">
        <v>10291</v>
      </c>
      <c r="L52" s="160"/>
      <c r="M52" s="160"/>
      <c r="N52" s="159">
        <v>73</v>
      </c>
      <c r="O52" s="160"/>
      <c r="P52" s="160"/>
      <c r="Q52" s="159">
        <v>1716</v>
      </c>
      <c r="R52" s="160"/>
      <c r="S52" s="160"/>
      <c r="T52" s="159">
        <v>1789</v>
      </c>
      <c r="U52" s="160"/>
      <c r="V52" s="160"/>
      <c r="W52" s="159">
        <v>3840</v>
      </c>
      <c r="X52" s="23"/>
      <c r="Y52" s="159"/>
      <c r="Z52" s="159">
        <v>7648</v>
      </c>
      <c r="AA52" s="23"/>
      <c r="AB52" s="159"/>
      <c r="AC52" s="159">
        <v>11488</v>
      </c>
      <c r="AD52" s="23"/>
      <c r="AJ52" s="16"/>
      <c r="AK52" s="16"/>
      <c r="AL52" s="16"/>
      <c r="AM52" s="16"/>
      <c r="AN52" s="16"/>
      <c r="AO52" s="16"/>
      <c r="AP52" s="16"/>
    </row>
    <row r="53" spans="2:42" s="87" customFormat="1" ht="17.399999999999999" customHeight="1">
      <c r="C53" s="157">
        <v>2016</v>
      </c>
      <c r="D53" s="160"/>
      <c r="E53" s="159">
        <v>3097</v>
      </c>
      <c r="F53" s="160"/>
      <c r="G53" s="160"/>
      <c r="H53" s="159">
        <v>7030</v>
      </c>
      <c r="I53" s="166">
        <v>11</v>
      </c>
      <c r="J53" s="158"/>
      <c r="K53" s="159">
        <v>10127</v>
      </c>
      <c r="L53" s="160"/>
      <c r="M53" s="160"/>
      <c r="N53" s="161" t="s">
        <v>78</v>
      </c>
      <c r="O53" s="160"/>
      <c r="P53" s="160"/>
      <c r="Q53" s="161" t="s">
        <v>78</v>
      </c>
      <c r="R53" s="160"/>
      <c r="S53" s="160"/>
      <c r="T53" s="161" t="s">
        <v>78</v>
      </c>
      <c r="U53" s="160"/>
      <c r="V53" s="160"/>
      <c r="W53" s="159">
        <v>4099.3</v>
      </c>
      <c r="X53" s="23"/>
      <c r="Y53" s="159"/>
      <c r="Z53" s="159">
        <v>7881.9099999999989</v>
      </c>
      <c r="AA53" s="23"/>
      <c r="AB53" s="159"/>
      <c r="AC53" s="159">
        <v>11981.21</v>
      </c>
      <c r="AD53" s="23"/>
      <c r="AJ53" s="28"/>
      <c r="AK53" s="75"/>
      <c r="AL53" s="28"/>
      <c r="AM53" s="75"/>
      <c r="AN53" s="28"/>
      <c r="AO53" s="17"/>
      <c r="AP53" s="28"/>
    </row>
    <row r="54" spans="2:42" s="87" customFormat="1" ht="10.5" customHeight="1">
      <c r="C54" s="157">
        <v>2017</v>
      </c>
      <c r="D54" s="160"/>
      <c r="E54" s="159">
        <v>3095</v>
      </c>
      <c r="F54" s="160"/>
      <c r="G54" s="160"/>
      <c r="H54" s="159">
        <v>7301</v>
      </c>
      <c r="I54" s="23">
        <v>11</v>
      </c>
      <c r="J54" s="158"/>
      <c r="K54" s="159">
        <v>10396</v>
      </c>
      <c r="L54" s="160"/>
      <c r="M54" s="160"/>
      <c r="N54" s="161" t="s">
        <v>78</v>
      </c>
      <c r="O54" s="160"/>
      <c r="P54" s="160"/>
      <c r="Q54" s="161" t="s">
        <v>78</v>
      </c>
      <c r="R54" s="160"/>
      <c r="S54" s="160"/>
      <c r="T54" s="161" t="s">
        <v>78</v>
      </c>
      <c r="U54" s="160"/>
      <c r="V54" s="160"/>
      <c r="W54" s="159">
        <v>4076</v>
      </c>
      <c r="X54" s="23"/>
      <c r="Y54" s="159"/>
      <c r="Z54" s="159">
        <v>7981</v>
      </c>
      <c r="AA54" s="23"/>
      <c r="AB54" s="159"/>
      <c r="AC54" s="159">
        <v>12057</v>
      </c>
      <c r="AD54" s="23"/>
      <c r="AF54" s="308"/>
      <c r="AJ54" s="28"/>
      <c r="AK54" s="75"/>
      <c r="AL54" s="28"/>
      <c r="AM54" s="75"/>
      <c r="AN54" s="28"/>
      <c r="AO54" s="17"/>
      <c r="AP54" s="28"/>
    </row>
    <row r="55" spans="2:42" s="87" customFormat="1" ht="10.5" customHeight="1">
      <c r="C55" s="157">
        <v>2018</v>
      </c>
      <c r="D55" s="160"/>
      <c r="E55" s="159">
        <v>3098</v>
      </c>
      <c r="F55" s="160"/>
      <c r="G55" s="160"/>
      <c r="H55" s="159">
        <v>7364</v>
      </c>
      <c r="I55" s="23">
        <v>11</v>
      </c>
      <c r="J55" s="158"/>
      <c r="K55" s="159">
        <v>10462</v>
      </c>
      <c r="L55" s="160"/>
      <c r="M55" s="160"/>
      <c r="N55" s="161" t="s">
        <v>78</v>
      </c>
      <c r="O55" s="160"/>
      <c r="P55" s="160"/>
      <c r="Q55" s="161" t="s">
        <v>78</v>
      </c>
      <c r="R55" s="160"/>
      <c r="S55" s="160"/>
      <c r="T55" s="161" t="s">
        <v>78</v>
      </c>
      <c r="U55" s="160"/>
      <c r="V55" s="160"/>
      <c r="W55" s="159">
        <v>4010.6</v>
      </c>
      <c r="X55" s="23"/>
      <c r="Y55" s="159"/>
      <c r="Z55" s="159">
        <v>8111.1</v>
      </c>
      <c r="AA55" s="23"/>
      <c r="AB55" s="159"/>
      <c r="AC55" s="159">
        <v>12121.7</v>
      </c>
      <c r="AD55" s="23"/>
      <c r="AE55" s="308"/>
      <c r="AF55" s="308"/>
      <c r="AG55" s="308"/>
      <c r="AJ55" s="65"/>
      <c r="AK55" s="133"/>
      <c r="AL55" s="65"/>
      <c r="AM55" s="133"/>
      <c r="AN55" s="65"/>
      <c r="AO55" s="66"/>
      <c r="AP55" s="65"/>
    </row>
    <row r="56" spans="2:42" s="87" customFormat="1" ht="10.5" customHeight="1">
      <c r="C56" s="157">
        <v>2019</v>
      </c>
      <c r="D56" s="160"/>
      <c r="E56" s="159">
        <v>3532</v>
      </c>
      <c r="F56" s="23">
        <v>21</v>
      </c>
      <c r="G56" s="160"/>
      <c r="H56" s="159">
        <v>7488</v>
      </c>
      <c r="I56" s="23">
        <v>11</v>
      </c>
      <c r="J56" s="158"/>
      <c r="K56" s="159">
        <v>11020</v>
      </c>
      <c r="L56" s="160"/>
      <c r="M56" s="160"/>
      <c r="N56" s="161" t="s">
        <v>78</v>
      </c>
      <c r="O56" s="160"/>
      <c r="P56" s="160"/>
      <c r="Q56" s="161" t="s">
        <v>78</v>
      </c>
      <c r="R56" s="160"/>
      <c r="S56" s="160"/>
      <c r="T56" s="161" t="s">
        <v>78</v>
      </c>
      <c r="U56" s="160"/>
      <c r="V56" s="160"/>
      <c r="W56" s="159">
        <f>'Tabell 2.1–2.2'!AQ$86+'Tabell 4.4–4.6'!AQ$22</f>
        <v>4060.5</v>
      </c>
      <c r="X56" s="23" t="s">
        <v>810</v>
      </c>
      <c r="Y56" s="159"/>
      <c r="Z56" s="159">
        <f>'Tabell 2.1–2.2'!AQ$87+'Tabell 4.4–4.6'!AQ$23</f>
        <v>7683</v>
      </c>
      <c r="AA56" s="23" t="s">
        <v>810</v>
      </c>
      <c r="AB56" s="23"/>
      <c r="AC56" s="159">
        <f>'Tabell 2.1–2.2'!AQ$88+'Tabell 4.4–4.6'!AQ$24</f>
        <v>11743.5</v>
      </c>
      <c r="AD56" s="23" t="s">
        <v>810</v>
      </c>
      <c r="AE56" s="308"/>
      <c r="AF56" s="308"/>
      <c r="AG56" s="308"/>
      <c r="AJ56" s="65"/>
      <c r="AK56" s="133"/>
      <c r="AL56" s="65"/>
      <c r="AM56" s="133"/>
      <c r="AN56" s="65"/>
      <c r="AO56" s="66"/>
      <c r="AP56" s="65"/>
    </row>
    <row r="57" spans="2:42" s="87" customFormat="1" ht="10.5" customHeight="1">
      <c r="C57" s="157">
        <v>2020</v>
      </c>
      <c r="D57" s="160"/>
      <c r="E57" s="159">
        <v>3540</v>
      </c>
      <c r="F57" s="160"/>
      <c r="G57" s="160"/>
      <c r="H57" s="159">
        <v>7338</v>
      </c>
      <c r="I57" s="23"/>
      <c r="J57" s="158"/>
      <c r="K57" s="159">
        <v>10878</v>
      </c>
      <c r="L57" s="160"/>
      <c r="M57" s="160"/>
      <c r="N57" s="161" t="s">
        <v>78</v>
      </c>
      <c r="O57" s="160"/>
      <c r="P57" s="160"/>
      <c r="Q57" s="161" t="s">
        <v>78</v>
      </c>
      <c r="R57" s="160"/>
      <c r="S57" s="160"/>
      <c r="T57" s="161" t="s">
        <v>78</v>
      </c>
      <c r="U57" s="160"/>
      <c r="V57" s="160"/>
      <c r="W57" s="159">
        <f>'Tabell 2.1–2.2'!AS$86+'Tabell 4.4–4.6'!AS$22</f>
        <v>3969</v>
      </c>
      <c r="X57" s="23" t="s">
        <v>810</v>
      </c>
      <c r="Y57" s="159"/>
      <c r="Z57" s="159">
        <f>'Tabell 2.1–2.2'!AS$87+'Tabell 4.4–4.6'!AS$23</f>
        <v>7673</v>
      </c>
      <c r="AA57" s="23" t="s">
        <v>810</v>
      </c>
      <c r="AB57" s="159"/>
      <c r="AC57" s="159">
        <f>'Tabell 2.1–2.2'!AS$88+'Tabell 4.4–4.6'!AS$24</f>
        <v>11642</v>
      </c>
      <c r="AD57" s="23" t="s">
        <v>810</v>
      </c>
      <c r="AE57" s="308"/>
      <c r="AF57" s="308"/>
      <c r="AG57" s="308"/>
      <c r="AJ57" s="28"/>
      <c r="AK57" s="75"/>
      <c r="AL57" s="28"/>
      <c r="AM57" s="75"/>
      <c r="AN57" s="28"/>
      <c r="AO57" s="17"/>
      <c r="AP57" s="28"/>
    </row>
    <row r="58" spans="2:42" s="87" customFormat="1" ht="17.399999999999999" customHeight="1">
      <c r="C58" s="157">
        <v>2021</v>
      </c>
      <c r="D58" s="160"/>
      <c r="E58" s="159">
        <v>3522</v>
      </c>
      <c r="F58" s="160"/>
      <c r="G58" s="160"/>
      <c r="H58" s="159">
        <v>7298</v>
      </c>
      <c r="I58" s="166"/>
      <c r="J58" s="158"/>
      <c r="K58" s="159">
        <v>10820</v>
      </c>
      <c r="L58" s="160"/>
      <c r="M58" s="160"/>
      <c r="N58" s="161" t="s">
        <v>78</v>
      </c>
      <c r="O58" s="160"/>
      <c r="P58" s="160"/>
      <c r="Q58" s="161" t="s">
        <v>78</v>
      </c>
      <c r="R58" s="160"/>
      <c r="S58" s="160"/>
      <c r="T58" s="161" t="s">
        <v>78</v>
      </c>
      <c r="U58" s="160"/>
      <c r="V58" s="160"/>
      <c r="W58" s="159">
        <f>'Tabell 2.1–2.2'!AU$86+'Tabell 4.4–4.6'!AU$22</f>
        <v>4131</v>
      </c>
      <c r="X58" s="23"/>
      <c r="Y58" s="159"/>
      <c r="Z58" s="159">
        <f>'Tabell 2.1–2.2'!AU$87+'Tabell 4.4–4.6'!AU$23</f>
        <v>7641</v>
      </c>
      <c r="AA58" s="23"/>
      <c r="AB58" s="159"/>
      <c r="AC58" s="159">
        <f>'Tabell 2.1–2.2'!AU$88+'Tabell 4.4–4.6'!AU$24</f>
        <v>11772</v>
      </c>
      <c r="AD58" s="23"/>
      <c r="AJ58" s="28"/>
      <c r="AK58" s="75"/>
      <c r="AL58" s="28"/>
      <c r="AM58" s="75"/>
      <c r="AN58" s="28"/>
      <c r="AO58" s="17"/>
      <c r="AP58" s="28"/>
    </row>
    <row r="59" spans="2:42" ht="6.6" customHeight="1">
      <c r="B59" s="13"/>
      <c r="C59" s="13"/>
      <c r="D59" s="13"/>
      <c r="E59" s="13"/>
      <c r="F59" s="113"/>
      <c r="G59" s="113"/>
      <c r="H59" s="13"/>
      <c r="I59" s="13"/>
      <c r="J59" s="13"/>
      <c r="K59" s="13"/>
      <c r="L59" s="113"/>
      <c r="M59" s="113"/>
      <c r="N59" s="13"/>
      <c r="O59" s="113"/>
      <c r="P59" s="113"/>
      <c r="Q59" s="13"/>
      <c r="R59" s="113"/>
      <c r="S59" s="113"/>
      <c r="T59" s="13"/>
      <c r="U59" s="113"/>
      <c r="V59" s="113"/>
      <c r="W59" s="13"/>
      <c r="X59" s="13"/>
      <c r="Y59" s="13"/>
      <c r="Z59" s="13"/>
      <c r="AA59" s="13"/>
      <c r="AB59" s="13"/>
      <c r="AC59" s="13"/>
      <c r="AD59" s="13"/>
      <c r="AF59" s="314"/>
      <c r="AJ59" s="28"/>
      <c r="AK59" s="75"/>
      <c r="AL59" s="28"/>
      <c r="AM59" s="75"/>
      <c r="AN59" s="28"/>
      <c r="AO59" s="17"/>
      <c r="AP59" s="28"/>
    </row>
    <row r="60" spans="2:42" ht="14.25" customHeight="1">
      <c r="B60" s="474" t="s">
        <v>80</v>
      </c>
      <c r="C60" s="513"/>
      <c r="D60" s="513"/>
      <c r="E60" s="498" t="s">
        <v>121</v>
      </c>
      <c r="F60" s="499"/>
      <c r="G60" s="499"/>
      <c r="H60" s="499"/>
      <c r="I60" s="499"/>
      <c r="J60" s="499"/>
      <c r="K60" s="499"/>
      <c r="L60" s="499"/>
      <c r="M60" s="179"/>
      <c r="N60" s="498" t="s">
        <v>122</v>
      </c>
      <c r="O60" s="498"/>
      <c r="P60" s="498"/>
      <c r="Q60" s="498"/>
      <c r="R60" s="498"/>
      <c r="S60" s="498"/>
      <c r="T60" s="498"/>
      <c r="U60" s="498"/>
      <c r="V60" s="498"/>
      <c r="W60" s="498"/>
      <c r="X60" s="498"/>
      <c r="Y60" s="498"/>
      <c r="Z60" s="498"/>
      <c r="AA60" s="498"/>
      <c r="AB60" s="498"/>
      <c r="AC60" s="498"/>
      <c r="AD60" s="498"/>
      <c r="AF60" s="314"/>
      <c r="AJ60" s="28"/>
      <c r="AK60" s="75"/>
      <c r="AL60" s="28"/>
      <c r="AM60" s="75"/>
      <c r="AN60" s="28"/>
      <c r="AO60" s="17"/>
      <c r="AP60" s="28"/>
    </row>
    <row r="61" spans="2:42" ht="14.25" customHeight="1">
      <c r="B61" s="513"/>
      <c r="C61" s="513"/>
      <c r="D61" s="513"/>
      <c r="E61" s="498" t="s">
        <v>123</v>
      </c>
      <c r="F61" s="498"/>
      <c r="G61" s="498"/>
      <c r="H61" s="498"/>
      <c r="I61" s="498"/>
      <c r="J61" s="498"/>
      <c r="K61" s="498"/>
      <c r="L61" s="498"/>
      <c r="M61" s="96"/>
      <c r="N61" s="498" t="s">
        <v>124</v>
      </c>
      <c r="O61" s="498"/>
      <c r="P61" s="498"/>
      <c r="Q61" s="498"/>
      <c r="R61" s="498"/>
      <c r="S61" s="498"/>
      <c r="T61" s="498"/>
      <c r="U61" s="498"/>
      <c r="V61" s="96"/>
      <c r="W61" s="498" t="s">
        <v>125</v>
      </c>
      <c r="X61" s="498"/>
      <c r="Y61" s="498"/>
      <c r="Z61" s="498"/>
      <c r="AA61" s="498"/>
      <c r="AB61" s="498"/>
      <c r="AC61" s="499"/>
      <c r="AD61" s="499"/>
      <c r="AF61" s="314"/>
      <c r="AJ61" s="65"/>
      <c r="AK61" s="133"/>
      <c r="AL61" s="65"/>
      <c r="AM61" s="133"/>
      <c r="AN61" s="65"/>
      <c r="AO61" s="66"/>
      <c r="AP61" s="65"/>
    </row>
    <row r="62" spans="2:42" ht="48" customHeight="1">
      <c r="B62" s="513"/>
      <c r="C62" s="513"/>
      <c r="D62" s="513"/>
      <c r="E62" s="466" t="s">
        <v>126</v>
      </c>
      <c r="F62" s="466"/>
      <c r="G62" s="153"/>
      <c r="H62" s="466" t="s">
        <v>127</v>
      </c>
      <c r="I62" s="466"/>
      <c r="J62" s="153"/>
      <c r="K62" s="466" t="s">
        <v>84</v>
      </c>
      <c r="L62" s="466"/>
      <c r="M62" s="154"/>
      <c r="N62" s="466" t="s">
        <v>128</v>
      </c>
      <c r="O62" s="466"/>
      <c r="P62" s="153"/>
      <c r="Q62" s="466" t="s">
        <v>129</v>
      </c>
      <c r="R62" s="466"/>
      <c r="S62" s="153"/>
      <c r="T62" s="466" t="s">
        <v>84</v>
      </c>
      <c r="U62" s="501"/>
      <c r="V62" s="282"/>
      <c r="W62" s="466" t="s">
        <v>128</v>
      </c>
      <c r="X62" s="501"/>
      <c r="Y62" s="282"/>
      <c r="Z62" s="466" t="s">
        <v>129</v>
      </c>
      <c r="AA62" s="501"/>
      <c r="AB62" s="282"/>
      <c r="AC62" s="466" t="s">
        <v>84</v>
      </c>
      <c r="AD62" s="501"/>
      <c r="AJ62" s="65"/>
      <c r="AK62" s="133"/>
      <c r="AL62" s="65"/>
      <c r="AM62" s="133"/>
      <c r="AN62" s="65"/>
      <c r="AO62" s="66"/>
      <c r="AP62" s="65"/>
    </row>
    <row r="63" spans="2:42" ht="14.25" customHeight="1">
      <c r="B63" s="513"/>
      <c r="C63" s="513"/>
      <c r="D63" s="513"/>
      <c r="E63" s="498" t="s">
        <v>130</v>
      </c>
      <c r="F63" s="499"/>
      <c r="G63" s="499"/>
      <c r="H63" s="499"/>
      <c r="I63" s="499"/>
      <c r="J63" s="499"/>
      <c r="K63" s="499"/>
      <c r="L63" s="499"/>
      <c r="M63" s="179"/>
      <c r="N63" s="498" t="s">
        <v>131</v>
      </c>
      <c r="O63" s="498"/>
      <c r="P63" s="498"/>
      <c r="Q63" s="498"/>
      <c r="R63" s="498"/>
      <c r="S63" s="498"/>
      <c r="T63" s="498"/>
      <c r="U63" s="498"/>
      <c r="V63" s="498"/>
      <c r="W63" s="498"/>
      <c r="X63" s="498"/>
      <c r="Y63" s="498"/>
      <c r="Z63" s="498"/>
      <c r="AA63" s="498"/>
      <c r="AB63" s="498"/>
      <c r="AC63" s="498"/>
      <c r="AD63" s="498"/>
      <c r="AJ63" s="28"/>
      <c r="AK63" s="75"/>
      <c r="AL63" s="28"/>
      <c r="AM63" s="75"/>
      <c r="AN63" s="28"/>
      <c r="AO63" s="17"/>
      <c r="AP63" s="28"/>
    </row>
    <row r="64" spans="2:42" ht="15.75" customHeight="1">
      <c r="AJ64" s="28"/>
      <c r="AK64" s="75"/>
      <c r="AL64" s="28"/>
      <c r="AM64" s="75"/>
      <c r="AN64" s="28"/>
      <c r="AO64" s="17"/>
      <c r="AP64" s="28"/>
    </row>
    <row r="65" spans="1:42" ht="15" customHeight="1">
      <c r="A65" s="2"/>
      <c r="B65" s="111">
        <v>5</v>
      </c>
      <c r="C65" s="16" t="s">
        <v>490</v>
      </c>
      <c r="D65" s="16"/>
      <c r="E65" s="16"/>
      <c r="F65" s="16"/>
      <c r="G65" s="16"/>
      <c r="H65" s="16"/>
      <c r="I65" s="16"/>
      <c r="J65" s="16"/>
      <c r="K65" s="16"/>
      <c r="L65" s="16"/>
      <c r="M65" s="16"/>
      <c r="N65" s="16"/>
      <c r="O65" s="52"/>
      <c r="R65" s="52">
        <v>11</v>
      </c>
      <c r="S65" s="16" t="s">
        <v>814</v>
      </c>
      <c r="T65" s="16"/>
      <c r="U65" s="16"/>
      <c r="V65" s="16"/>
      <c r="W65" s="16"/>
      <c r="X65" s="16"/>
      <c r="Y65" s="16"/>
      <c r="Z65" s="16"/>
      <c r="AA65" s="16"/>
      <c r="AB65" s="16"/>
      <c r="AC65" s="16"/>
      <c r="AD65" s="27"/>
      <c r="AJ65" s="28"/>
      <c r="AK65" s="75"/>
      <c r="AL65" s="28"/>
      <c r="AM65" s="75"/>
      <c r="AN65" s="28"/>
      <c r="AO65" s="17"/>
      <c r="AP65" s="28"/>
    </row>
    <row r="66" spans="1:42" ht="15" customHeight="1">
      <c r="A66" s="2"/>
      <c r="B66" s="111">
        <v>6</v>
      </c>
      <c r="C66" s="16" t="s">
        <v>134</v>
      </c>
      <c r="D66" s="16"/>
      <c r="F66" s="11"/>
      <c r="G66" s="11"/>
      <c r="L66" s="11"/>
      <c r="M66" s="11"/>
      <c r="O66" s="52"/>
      <c r="R66" s="52"/>
      <c r="S66" s="16" t="s">
        <v>815</v>
      </c>
      <c r="T66" s="16"/>
      <c r="U66" s="16"/>
      <c r="V66" s="16"/>
      <c r="W66" s="16"/>
      <c r="X66" s="16"/>
      <c r="Y66" s="16"/>
      <c r="Z66" s="16"/>
      <c r="AA66" s="16"/>
      <c r="AB66" s="16"/>
      <c r="AC66" s="16"/>
      <c r="AD66" s="27"/>
      <c r="AJ66" s="28"/>
      <c r="AK66" s="75"/>
      <c r="AL66" s="28"/>
      <c r="AM66" s="75"/>
      <c r="AN66" s="28"/>
      <c r="AO66" s="17"/>
      <c r="AP66" s="28"/>
    </row>
    <row r="67" spans="1:42" ht="15" customHeight="1">
      <c r="A67" s="2"/>
      <c r="B67" s="111"/>
      <c r="C67" s="16" t="s">
        <v>491</v>
      </c>
      <c r="D67" s="16"/>
      <c r="E67" s="16"/>
      <c r="F67" s="16"/>
      <c r="G67" s="16"/>
      <c r="H67" s="16"/>
      <c r="I67" s="16"/>
      <c r="J67" s="16"/>
      <c r="K67" s="16"/>
      <c r="L67" s="16"/>
      <c r="M67" s="16"/>
      <c r="N67" s="16"/>
      <c r="O67" s="52"/>
      <c r="R67" s="52"/>
      <c r="S67" s="16" t="s">
        <v>866</v>
      </c>
      <c r="T67" s="16"/>
      <c r="U67" s="16"/>
      <c r="V67" s="16"/>
      <c r="W67" s="16"/>
      <c r="X67" s="16"/>
      <c r="Y67" s="16"/>
      <c r="Z67" s="16"/>
      <c r="AA67" s="16"/>
      <c r="AB67" s="16"/>
      <c r="AC67" s="16"/>
      <c r="AD67" s="27"/>
      <c r="AJ67" s="65"/>
      <c r="AK67" s="133"/>
      <c r="AL67" s="65"/>
      <c r="AM67" s="133"/>
      <c r="AN67" s="65"/>
      <c r="AO67" s="66"/>
      <c r="AP67" s="65"/>
    </row>
    <row r="68" spans="1:42" ht="15" customHeight="1">
      <c r="A68" s="2"/>
      <c r="C68" s="53" t="s">
        <v>136</v>
      </c>
      <c r="D68" s="16"/>
      <c r="E68" s="16"/>
      <c r="F68" s="16"/>
      <c r="G68" s="16"/>
      <c r="H68" s="16"/>
      <c r="I68" s="16"/>
      <c r="J68" s="16"/>
      <c r="K68" s="16"/>
      <c r="L68" s="16"/>
      <c r="M68" s="16"/>
      <c r="N68" s="16"/>
      <c r="O68" s="52"/>
      <c r="S68" s="16" t="s">
        <v>867</v>
      </c>
      <c r="T68" s="53"/>
      <c r="U68" s="16"/>
      <c r="V68" s="16"/>
      <c r="W68" s="16"/>
      <c r="X68" s="16"/>
      <c r="Y68" s="16"/>
      <c r="Z68" s="16"/>
      <c r="AA68" s="16"/>
      <c r="AB68" s="16"/>
      <c r="AC68" s="16"/>
      <c r="AD68" s="27"/>
      <c r="AJ68" s="17"/>
      <c r="AK68" s="17"/>
      <c r="AL68" s="17"/>
      <c r="AM68" s="17"/>
      <c r="AN68" s="17"/>
      <c r="AO68" s="17"/>
      <c r="AP68" s="17"/>
    </row>
    <row r="69" spans="1:42" ht="15" customHeight="1">
      <c r="A69" s="2"/>
      <c r="B69" s="111">
        <v>7</v>
      </c>
      <c r="C69" s="16" t="s">
        <v>137</v>
      </c>
      <c r="E69" s="16"/>
      <c r="F69" s="16"/>
      <c r="G69" s="16"/>
      <c r="H69" s="16"/>
      <c r="I69" s="16"/>
      <c r="J69" s="16"/>
      <c r="K69" s="16"/>
      <c r="L69" s="16"/>
      <c r="M69" s="16"/>
      <c r="N69" s="16"/>
      <c r="O69" s="52"/>
      <c r="S69" s="53" t="s">
        <v>846</v>
      </c>
      <c r="T69" s="53"/>
      <c r="U69" s="16"/>
      <c r="V69" s="16"/>
      <c r="W69" s="16"/>
      <c r="X69" s="16"/>
      <c r="Y69" s="16"/>
      <c r="Z69" s="16"/>
      <c r="AA69" s="16"/>
      <c r="AB69" s="16"/>
      <c r="AC69" s="16"/>
      <c r="AD69" s="27"/>
    </row>
    <row r="70" spans="1:42" ht="15" customHeight="1">
      <c r="A70" s="2"/>
      <c r="B70" s="111"/>
      <c r="C70" s="16" t="s">
        <v>139</v>
      </c>
      <c r="D70" s="16"/>
      <c r="E70" s="16"/>
      <c r="F70" s="16"/>
      <c r="G70" s="16"/>
      <c r="H70" s="16"/>
      <c r="I70" s="16"/>
      <c r="J70" s="16"/>
      <c r="K70" s="16"/>
      <c r="L70" s="16"/>
      <c r="M70" s="16"/>
      <c r="N70" s="16"/>
      <c r="O70" s="52"/>
      <c r="R70" s="52"/>
      <c r="S70" s="53" t="s">
        <v>816</v>
      </c>
      <c r="T70" s="53"/>
      <c r="U70" s="16"/>
      <c r="V70" s="16"/>
      <c r="W70" s="16"/>
      <c r="X70" s="16"/>
      <c r="Y70" s="16"/>
      <c r="Z70" s="16"/>
      <c r="AA70" s="16"/>
      <c r="AB70" s="16"/>
      <c r="AC70" s="16"/>
      <c r="AD70" s="27"/>
      <c r="AJ70" s="82"/>
      <c r="AL70" s="82"/>
      <c r="AN70" s="82"/>
      <c r="AP70" s="82"/>
    </row>
    <row r="71" spans="1:42" ht="15" customHeight="1">
      <c r="A71" s="2"/>
      <c r="B71" s="111"/>
      <c r="C71" s="53" t="s">
        <v>140</v>
      </c>
      <c r="D71" s="16"/>
      <c r="E71" s="16"/>
      <c r="F71" s="16"/>
      <c r="G71" s="16"/>
      <c r="H71" s="16"/>
      <c r="I71" s="16"/>
      <c r="J71" s="16"/>
      <c r="K71" s="16"/>
      <c r="L71" s="16"/>
      <c r="M71" s="16"/>
      <c r="N71" s="16"/>
      <c r="O71" s="52"/>
      <c r="S71" s="53" t="s">
        <v>828</v>
      </c>
      <c r="T71" s="53"/>
      <c r="U71" s="11"/>
      <c r="V71" s="11"/>
      <c r="AD71" s="112"/>
      <c r="AJ71" s="82"/>
      <c r="AL71" s="82"/>
      <c r="AN71" s="82"/>
      <c r="AP71" s="82"/>
    </row>
    <row r="72" spans="1:42" ht="15" customHeight="1">
      <c r="A72" s="2"/>
      <c r="B72" s="52">
        <v>8</v>
      </c>
      <c r="C72" s="16" t="s">
        <v>132</v>
      </c>
      <c r="D72" s="16"/>
      <c r="F72" s="11"/>
      <c r="G72" s="11"/>
      <c r="L72" s="16"/>
      <c r="M72" s="16"/>
      <c r="N72" s="16"/>
      <c r="O72" s="52"/>
      <c r="R72" s="52"/>
      <c r="S72" s="53" t="s">
        <v>868</v>
      </c>
      <c r="T72" s="53"/>
      <c r="AJ72" s="82"/>
      <c r="AL72" s="82"/>
      <c r="AN72" s="82"/>
      <c r="AP72" s="82"/>
    </row>
    <row r="73" spans="1:42" ht="15" customHeight="1">
      <c r="B73" s="52"/>
      <c r="C73" s="53" t="s">
        <v>133</v>
      </c>
      <c r="D73" s="16"/>
      <c r="E73" s="16"/>
      <c r="F73" s="16"/>
      <c r="G73" s="16"/>
      <c r="H73" s="16"/>
      <c r="I73" s="16"/>
      <c r="J73" s="16"/>
      <c r="K73" s="16"/>
      <c r="L73" s="11"/>
      <c r="M73" s="11"/>
      <c r="O73" s="52"/>
      <c r="S73" s="53" t="s">
        <v>817</v>
      </c>
    </row>
    <row r="74" spans="1:42" ht="15.6">
      <c r="B74" s="52">
        <v>9</v>
      </c>
      <c r="C74" s="16" t="s">
        <v>135</v>
      </c>
      <c r="D74" s="16"/>
      <c r="F74" s="11"/>
      <c r="G74" s="11"/>
      <c r="L74" s="11"/>
      <c r="M74" s="11"/>
      <c r="O74" s="5"/>
      <c r="P74" s="5"/>
      <c r="R74" s="52">
        <v>21</v>
      </c>
      <c r="S74" s="16" t="s">
        <v>1167</v>
      </c>
      <c r="T74" s="16"/>
    </row>
    <row r="75" spans="1:42">
      <c r="B75" s="52"/>
      <c r="C75" s="53" t="s">
        <v>645</v>
      </c>
      <c r="D75" s="16"/>
      <c r="S75" s="16" t="s">
        <v>1168</v>
      </c>
      <c r="T75" s="16"/>
    </row>
    <row r="76" spans="1:42">
      <c r="B76" s="52"/>
      <c r="C76" s="53" t="s">
        <v>646</v>
      </c>
      <c r="D76" s="16"/>
      <c r="S76" s="16" t="s">
        <v>1169</v>
      </c>
      <c r="T76" s="16"/>
    </row>
    <row r="77" spans="1:42">
      <c r="B77" s="52">
        <v>10</v>
      </c>
      <c r="C77" s="16" t="s">
        <v>138</v>
      </c>
      <c r="D77" s="16"/>
      <c r="E77" s="16"/>
      <c r="F77" s="16"/>
      <c r="G77" s="16"/>
      <c r="H77" s="16"/>
      <c r="I77" s="16"/>
      <c r="J77" s="16"/>
      <c r="K77" s="16"/>
      <c r="L77" s="16"/>
      <c r="M77" s="16"/>
      <c r="S77" s="16" t="s">
        <v>1170</v>
      </c>
      <c r="T77" s="16"/>
    </row>
    <row r="78" spans="1:42">
      <c r="B78" s="52"/>
      <c r="C78" s="16" t="s">
        <v>492</v>
      </c>
      <c r="D78" s="16"/>
      <c r="E78" s="16"/>
      <c r="F78" s="16"/>
      <c r="G78" s="16"/>
      <c r="H78" s="16"/>
      <c r="I78" s="16"/>
      <c r="J78" s="16"/>
      <c r="K78" s="16"/>
      <c r="L78" s="16"/>
      <c r="M78" s="16"/>
      <c r="S78" s="16" t="s">
        <v>1171</v>
      </c>
      <c r="T78" s="16"/>
    </row>
    <row r="79" spans="1:42">
      <c r="B79" s="52"/>
      <c r="C79" s="53" t="s">
        <v>141</v>
      </c>
      <c r="D79" s="16"/>
      <c r="E79" s="16"/>
      <c r="F79" s="16"/>
      <c r="G79" s="16"/>
      <c r="H79" s="16"/>
      <c r="I79" s="16"/>
      <c r="J79" s="16"/>
      <c r="K79" s="16"/>
      <c r="L79" s="16"/>
      <c r="M79" s="16"/>
      <c r="S79" s="16" t="s">
        <v>1172</v>
      </c>
      <c r="T79" s="16"/>
    </row>
    <row r="80" spans="1:42">
      <c r="S80" s="16" t="s">
        <v>1173</v>
      </c>
      <c r="T80" s="16"/>
    </row>
    <row r="81" spans="20:20">
      <c r="T81" s="16"/>
    </row>
  </sheetData>
  <mergeCells count="48">
    <mergeCell ref="B4:D7"/>
    <mergeCell ref="E5:L5"/>
    <mergeCell ref="B60:D63"/>
    <mergeCell ref="E61:L61"/>
    <mergeCell ref="K6:L6"/>
    <mergeCell ref="B9:D9"/>
    <mergeCell ref="E9:F9"/>
    <mergeCell ref="H9:I9"/>
    <mergeCell ref="K9:L9"/>
    <mergeCell ref="Q62:R62"/>
    <mergeCell ref="W5:AD5"/>
    <mergeCell ref="E63:L63"/>
    <mergeCell ref="N63:AD63"/>
    <mergeCell ref="W62:X62"/>
    <mergeCell ref="Z62:AA62"/>
    <mergeCell ref="AC62:AD62"/>
    <mergeCell ref="E62:F62"/>
    <mergeCell ref="H62:I62"/>
    <mergeCell ref="K62:L62"/>
    <mergeCell ref="N62:O62"/>
    <mergeCell ref="Q9:R9"/>
    <mergeCell ref="T9:U9"/>
    <mergeCell ref="E6:F6"/>
    <mergeCell ref="H6:I6"/>
    <mergeCell ref="E60:L60"/>
    <mergeCell ref="N61:U61"/>
    <mergeCell ref="T62:U62"/>
    <mergeCell ref="E4:L4"/>
    <mergeCell ref="N4:AD4"/>
    <mergeCell ref="N5:U5"/>
    <mergeCell ref="T6:U6"/>
    <mergeCell ref="E7:L7"/>
    <mergeCell ref="N7:AD7"/>
    <mergeCell ref="W9:X9"/>
    <mergeCell ref="Z9:AA9"/>
    <mergeCell ref="AC9:AD9"/>
    <mergeCell ref="N6:O6"/>
    <mergeCell ref="Q6:R6"/>
    <mergeCell ref="W6:X6"/>
    <mergeCell ref="Z6:AA6"/>
    <mergeCell ref="W61:AD61"/>
    <mergeCell ref="N60:AD60"/>
    <mergeCell ref="AC6:AD6"/>
    <mergeCell ref="AH14:AI14"/>
    <mergeCell ref="AH15:AI15"/>
    <mergeCell ref="S18:V18"/>
    <mergeCell ref="S19:V19"/>
    <mergeCell ref="N9:O9"/>
  </mergeCells>
  <printOptions horizontalCentered="1"/>
  <pageMargins left="0" right="0" top="0" bottom="0" header="0" footer="0"/>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46</vt:i4>
      </vt:variant>
      <vt:variant>
        <vt:lpstr>Namngivna områden</vt:lpstr>
      </vt:variant>
      <vt:variant>
        <vt:i4>55</vt:i4>
      </vt:variant>
    </vt:vector>
  </HeadingPairs>
  <TitlesOfParts>
    <vt:vector size="101" baseType="lpstr">
      <vt:lpstr>Titel_Title</vt:lpstr>
      <vt:lpstr>Innehåll_Content</vt:lpstr>
      <vt:lpstr>Kort om statistiken</vt:lpstr>
      <vt:lpstr>Definitioner</vt:lpstr>
      <vt:lpstr>Teckenförklaring_Legends</vt:lpstr>
      <vt:lpstr>Huvudmän</vt:lpstr>
      <vt:lpstr>Tågoperatörer</vt:lpstr>
      <vt:lpstr>Tabell 1.1 (1)</vt:lpstr>
      <vt:lpstr>Tabell 1.1 (2)</vt:lpstr>
      <vt:lpstr>Tabell 1.1 (3)</vt:lpstr>
      <vt:lpstr>Tabell 1.1 (4)</vt:lpstr>
      <vt:lpstr>Tabell 2.1–2.2</vt:lpstr>
      <vt:lpstr>Tabell 2.3–2.4</vt:lpstr>
      <vt:lpstr>Tabell 2.5–2.6</vt:lpstr>
      <vt:lpstr>Tabell 2.7</vt:lpstr>
      <vt:lpstr>Tabell 3.1–3.3</vt:lpstr>
      <vt:lpstr>Tabell 3.4</vt:lpstr>
      <vt:lpstr>Tabell 3.5–3.7</vt:lpstr>
      <vt:lpstr>Tabell 4.1–4.3</vt:lpstr>
      <vt:lpstr>Tabell 4.4–4.6</vt:lpstr>
      <vt:lpstr>Tabell 4.7</vt:lpstr>
      <vt:lpstr>Tabell 4.8</vt:lpstr>
      <vt:lpstr>Tabell 4.8 (forts)</vt:lpstr>
      <vt:lpstr>Tabell 4.9</vt:lpstr>
      <vt:lpstr>Tabell 4.10</vt:lpstr>
      <vt:lpstr>Tabell 4.11–4.13</vt:lpstr>
      <vt:lpstr>Data till figurer</vt:lpstr>
      <vt:lpstr>Common questionnaire</vt:lpstr>
      <vt:lpstr>Figur 1.1</vt:lpstr>
      <vt:lpstr>Figur 2.1</vt:lpstr>
      <vt:lpstr>Figur 2.2</vt:lpstr>
      <vt:lpstr>Figur 3.1</vt:lpstr>
      <vt:lpstr>Figur 3.2</vt:lpstr>
      <vt:lpstr>Figur 3.3</vt:lpstr>
      <vt:lpstr>Figur 3.4</vt:lpstr>
      <vt:lpstr>Figur 4.1</vt:lpstr>
      <vt:lpstr>Figur 4.2</vt:lpstr>
      <vt:lpstr>Figur 4.3</vt:lpstr>
      <vt:lpstr>Figur 4.4</vt:lpstr>
      <vt:lpstr>Figur 4.5</vt:lpstr>
      <vt:lpstr>Figur 5.1</vt:lpstr>
      <vt:lpstr>Figur 5.2</vt:lpstr>
      <vt:lpstr>Figur 5.3</vt:lpstr>
      <vt:lpstr>Figur 6.1</vt:lpstr>
      <vt:lpstr>Figur 6.2</vt:lpstr>
      <vt:lpstr>Figur 6.3</vt:lpstr>
      <vt:lpstr>'Figur 4.1'!_GoBack</vt:lpstr>
      <vt:lpstr>Definitioner!Print_Area</vt:lpstr>
      <vt:lpstr>'Figur 1.1'!Print_Area</vt:lpstr>
      <vt:lpstr>'Figur 2.1'!Print_Area</vt:lpstr>
      <vt:lpstr>'Figur 2.2'!Print_Area</vt:lpstr>
      <vt:lpstr>'Figur 3.1'!Print_Area</vt:lpstr>
      <vt:lpstr>'Figur 3.2'!Print_Area</vt:lpstr>
      <vt:lpstr>'Figur 3.3'!Print_Area</vt:lpstr>
      <vt:lpstr>'Figur 3.4'!Print_Area</vt:lpstr>
      <vt:lpstr>'Figur 4.1'!Print_Area</vt:lpstr>
      <vt:lpstr>'Figur 4.2'!Print_Area</vt:lpstr>
      <vt:lpstr>'Figur 4.3'!Print_Area</vt:lpstr>
      <vt:lpstr>'Figur 4.4'!Print_Area</vt:lpstr>
      <vt:lpstr>'Figur 4.5'!Print_Area</vt:lpstr>
      <vt:lpstr>'Figur 5.1'!Print_Area</vt:lpstr>
      <vt:lpstr>'Figur 5.2'!Print_Area</vt:lpstr>
      <vt:lpstr>'Figur 5.3'!Print_Area</vt:lpstr>
      <vt:lpstr>'Figur 6.1'!Print_Area</vt:lpstr>
      <vt:lpstr>'Figur 6.2'!Print_Area</vt:lpstr>
      <vt:lpstr>'Figur 6.3'!Print_Area</vt:lpstr>
      <vt:lpstr>'Kort om statistiken'!Print_Area</vt:lpstr>
      <vt:lpstr>'Tabell 1.1 (3)'!Print_Area</vt:lpstr>
      <vt:lpstr>'Tabell 1.1 (4)'!Print_Area</vt:lpstr>
      <vt:lpstr>'Tabell 2.1–2.2'!Print_Area</vt:lpstr>
      <vt:lpstr>'Tabell 2.3–2.4'!Print_Area</vt:lpstr>
      <vt:lpstr>'Tabell 4.11–4.13'!Print_Area</vt:lpstr>
      <vt:lpstr>'Tabell 4.1–4.3'!Print_Area</vt:lpstr>
      <vt:lpstr>Definitioner!Utskriftsområde</vt:lpstr>
      <vt:lpstr>'Figur 4.1'!Utskriftsområde</vt:lpstr>
      <vt:lpstr>'Figur 4.4'!Utskriftsområde</vt:lpstr>
      <vt:lpstr>Huvudmän!Utskriftsområde</vt:lpstr>
      <vt:lpstr>Innehåll_Content!Utskriftsområde</vt:lpstr>
      <vt:lpstr>'Kort om statistiken'!Utskriftsområde</vt:lpstr>
      <vt:lpstr>'Tabell 1.1 (1)'!Utskriftsområde</vt:lpstr>
      <vt:lpstr>'Tabell 1.1 (2)'!Utskriftsområde</vt:lpstr>
      <vt:lpstr>'Tabell 1.1 (3)'!Utskriftsområde</vt:lpstr>
      <vt:lpstr>'Tabell 1.1 (4)'!Utskriftsområde</vt:lpstr>
      <vt:lpstr>'Tabell 2.1–2.2'!Utskriftsområde</vt:lpstr>
      <vt:lpstr>'Tabell 2.3–2.4'!Utskriftsområde</vt:lpstr>
      <vt:lpstr>'Tabell 2.5–2.6'!Utskriftsområde</vt:lpstr>
      <vt:lpstr>'Tabell 2.7'!Utskriftsområde</vt:lpstr>
      <vt:lpstr>'Tabell 3.1–3.3'!Utskriftsområde</vt:lpstr>
      <vt:lpstr>'Tabell 3.4'!Utskriftsområde</vt:lpstr>
      <vt:lpstr>'Tabell 3.5–3.7'!Utskriftsområde</vt:lpstr>
      <vt:lpstr>'Tabell 4.10'!Utskriftsområde</vt:lpstr>
      <vt:lpstr>'Tabell 4.11–4.13'!Utskriftsområde</vt:lpstr>
      <vt:lpstr>'Tabell 4.1–4.3'!Utskriftsområde</vt:lpstr>
      <vt:lpstr>'Tabell 4.4–4.6'!Utskriftsområde</vt:lpstr>
      <vt:lpstr>'Tabell 4.7'!Utskriftsområde</vt:lpstr>
      <vt:lpstr>'Tabell 4.8'!Utskriftsområde</vt:lpstr>
      <vt:lpstr>'Tabell 4.8 (forts)'!Utskriftsområde</vt:lpstr>
      <vt:lpstr>'Tabell 4.9'!Utskriftsområde</vt:lpstr>
      <vt:lpstr>Teckenförklaring_Legends!Utskriftsområde</vt:lpstr>
      <vt:lpstr>Titel_Title!Utskriftsområde</vt:lpstr>
      <vt:lpstr>Tågoperatörer!Utskriftsområde</vt:lpstr>
    </vt:vector>
  </TitlesOfParts>
  <Company>Trafikverket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broand03</dc:creator>
  <cp:lastModifiedBy>Johan Landin</cp:lastModifiedBy>
  <cp:lastPrinted>2022-02-18T07:55:40Z</cp:lastPrinted>
  <dcterms:created xsi:type="dcterms:W3CDTF">2012-10-19T11:08:55Z</dcterms:created>
  <dcterms:modified xsi:type="dcterms:W3CDTF">2023-06-20T08:05:48Z</dcterms:modified>
</cp:coreProperties>
</file>