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10" windowWidth="15240" windowHeight="6525" activeTab="4"/>
  </bookViews>
  <sheets>
    <sheet name="Beräkningsunderlag" sheetId="2" r:id="rId1"/>
    <sheet name="Sverige" sheetId="1" r:id="rId2"/>
    <sheet name="Polen" sheetId="3" r:id="rId3"/>
    <sheet name="Estland" sheetId="4" r:id="rId4"/>
    <sheet name="Tjeckien" sheetId="5" r:id="rId5"/>
    <sheet name="Resultatjämförelse" sheetId="6" r:id="rId6"/>
  </sheets>
  <calcPr calcId="145621"/>
</workbook>
</file>

<file path=xl/calcChain.xml><?xml version="1.0" encoding="utf-8"?>
<calcChain xmlns="http://schemas.openxmlformats.org/spreadsheetml/2006/main">
  <c r="E9" i="5" l="1"/>
  <c r="E9" i="3"/>
  <c r="D9" i="4"/>
  <c r="C22" i="3"/>
  <c r="C21" i="3"/>
  <c r="B22" i="3"/>
  <c r="B21" i="3"/>
  <c r="C18" i="3"/>
  <c r="C15" i="3"/>
  <c r="C16" i="3"/>
  <c r="C17" i="3"/>
  <c r="C11" i="3"/>
  <c r="C10" i="3"/>
  <c r="C8" i="3" l="1"/>
  <c r="B14" i="1" l="1"/>
  <c r="B6" i="1"/>
  <c r="C8" i="4"/>
  <c r="H9" i="2" l="1"/>
  <c r="E16" i="5" s="1"/>
  <c r="F9" i="2"/>
  <c r="C6" i="3" l="1"/>
  <c r="F5" i="2" l="1"/>
  <c r="D21" i="3" l="1"/>
  <c r="B15" i="3"/>
  <c r="D15" i="5" l="1"/>
  <c r="F15" i="5" s="1"/>
  <c r="D21" i="5"/>
  <c r="D22" i="5" s="1"/>
  <c r="C21" i="5"/>
  <c r="C22" i="5" s="1"/>
  <c r="B22" i="5"/>
  <c r="B21" i="5"/>
  <c r="C22" i="4"/>
  <c r="C21" i="4"/>
  <c r="B22" i="4"/>
  <c r="B21" i="4"/>
  <c r="D22" i="3"/>
  <c r="B22" i="1"/>
  <c r="B21" i="1"/>
  <c r="C17" i="4" l="1"/>
  <c r="F17" i="4" s="1"/>
  <c r="B17" i="3"/>
  <c r="F11" i="4" l="1"/>
  <c r="E15" i="6"/>
  <c r="D18" i="6"/>
  <c r="D11" i="6"/>
  <c r="B22" i="6"/>
  <c r="B21" i="6"/>
  <c r="B18" i="6"/>
  <c r="B11" i="6"/>
  <c r="B10" i="6"/>
  <c r="B9" i="6"/>
  <c r="B8" i="6"/>
  <c r="D18" i="1"/>
  <c r="D22" i="1"/>
  <c r="D21" i="1"/>
  <c r="D11" i="1"/>
  <c r="D10" i="1"/>
  <c r="D9" i="1"/>
  <c r="D8" i="1"/>
  <c r="D20" i="1"/>
  <c r="B20" i="6" s="1"/>
  <c r="B29" i="1" l="1"/>
  <c r="B29" i="6" s="1"/>
  <c r="F9" i="4" l="1"/>
  <c r="D9" i="6" s="1"/>
  <c r="F10" i="4"/>
  <c r="D10" i="6" s="1"/>
  <c r="F8" i="4"/>
  <c r="D8" i="6" s="1"/>
  <c r="F22" i="4"/>
  <c r="D22" i="6" s="1"/>
  <c r="F21" i="5"/>
  <c r="E21" i="6" s="1"/>
  <c r="B18" i="5"/>
  <c r="B17" i="5"/>
  <c r="B16" i="5"/>
  <c r="F16" i="5" s="1"/>
  <c r="E16" i="6" s="1"/>
  <c r="B15" i="5"/>
  <c r="F18" i="5"/>
  <c r="E18" i="6" s="1"/>
  <c r="F9" i="5"/>
  <c r="E9" i="6" s="1"/>
  <c r="H4" i="2"/>
  <c r="H6" i="2" s="1"/>
  <c r="B11" i="5"/>
  <c r="F11" i="5" s="1"/>
  <c r="E11" i="6" s="1"/>
  <c r="B10" i="5"/>
  <c r="F10" i="5" s="1"/>
  <c r="E10" i="6" s="1"/>
  <c r="B8" i="5"/>
  <c r="B7" i="5"/>
  <c r="B6" i="5"/>
  <c r="E14" i="5" l="1"/>
  <c r="E6" i="5"/>
  <c r="F6" i="5" s="1"/>
  <c r="E6" i="6" s="1"/>
  <c r="E7" i="5"/>
  <c r="F7" i="5" s="1"/>
  <c r="E7" i="6" s="1"/>
  <c r="F22" i="5"/>
  <c r="E22" i="6" s="1"/>
  <c r="F21" i="4"/>
  <c r="F20" i="4" l="1"/>
  <c r="D21" i="6"/>
  <c r="F22" i="3"/>
  <c r="C22" i="6" s="1"/>
  <c r="F21" i="3"/>
  <c r="C21" i="6" s="1"/>
  <c r="F11" i="3"/>
  <c r="C11" i="6" s="1"/>
  <c r="F10" i="3"/>
  <c r="C10" i="6" s="1"/>
  <c r="F8" i="3"/>
  <c r="C8" i="6" s="1"/>
  <c r="F9" i="3"/>
  <c r="C9" i="6" s="1"/>
  <c r="B7" i="1"/>
  <c r="D7" i="1" s="1"/>
  <c r="B7" i="6" s="1"/>
  <c r="B18" i="3"/>
  <c r="F18" i="3" s="1"/>
  <c r="C18" i="6" s="1"/>
  <c r="B16" i="3"/>
  <c r="F16" i="3" s="1"/>
  <c r="C16" i="6" s="1"/>
  <c r="F15" i="3"/>
  <c r="C15" i="6" s="1"/>
  <c r="H11" i="2"/>
  <c r="E17" i="5" s="1"/>
  <c r="F17" i="5" s="1"/>
  <c r="E17" i="6" s="1"/>
  <c r="G11" i="2"/>
  <c r="F11" i="2"/>
  <c r="E11" i="2"/>
  <c r="D20" i="6" l="1"/>
  <c r="B29" i="4"/>
  <c r="D29" i="6" s="1"/>
  <c r="F20" i="3"/>
  <c r="C20" i="6" l="1"/>
  <c r="B29" i="3"/>
  <c r="C29" i="6" s="1"/>
  <c r="G4" i="2"/>
  <c r="F4" i="2"/>
  <c r="G6" i="2" l="1"/>
  <c r="D7" i="4"/>
  <c r="F7" i="4" s="1"/>
  <c r="D7" i="6" s="1"/>
  <c r="F6" i="4" l="1"/>
  <c r="D6" i="6" s="1"/>
  <c r="D14" i="4"/>
  <c r="D6" i="4"/>
  <c r="F20" i="5"/>
  <c r="F5" i="4" l="1"/>
  <c r="D5" i="6" s="1"/>
  <c r="E20" i="6"/>
  <c r="B29" i="5"/>
  <c r="E29" i="6" s="1"/>
  <c r="B27" i="4" l="1"/>
  <c r="D27" i="6" s="1"/>
  <c r="D8" i="5"/>
  <c r="F8" i="5" s="1"/>
  <c r="F5" i="5" l="1"/>
  <c r="E8" i="6"/>
  <c r="E5" i="6" l="1"/>
  <c r="B27" i="5"/>
  <c r="E27" i="6" s="1"/>
  <c r="F14" i="5" l="1"/>
  <c r="D17" i="4"/>
  <c r="D17" i="6" s="1"/>
  <c r="D15" i="4"/>
  <c r="F15" i="4" s="1"/>
  <c r="D15" i="6" s="1"/>
  <c r="F14" i="4"/>
  <c r="D14" i="6" s="1"/>
  <c r="E17" i="3"/>
  <c r="F17" i="3" s="1"/>
  <c r="E15" i="3"/>
  <c r="F13" i="5" l="1"/>
  <c r="E14" i="6"/>
  <c r="C17" i="6"/>
  <c r="E13" i="6"/>
  <c r="B28" i="5"/>
  <c r="E28" i="6" s="1"/>
  <c r="G9" i="2"/>
  <c r="D16" i="4" s="1"/>
  <c r="E16" i="3"/>
  <c r="B26" i="5" l="1"/>
  <c r="E26" i="6" s="1"/>
  <c r="F16" i="4"/>
  <c r="B30" i="5" l="1"/>
  <c r="E30" i="6" s="1"/>
  <c r="F13" i="4"/>
  <c r="D16" i="6"/>
  <c r="C17" i="1"/>
  <c r="D17" i="1" s="1"/>
  <c r="B17" i="6" s="1"/>
  <c r="B16" i="1"/>
  <c r="D16" i="1" s="1"/>
  <c r="B16" i="6" s="1"/>
  <c r="B15" i="1"/>
  <c r="D15" i="1" s="1"/>
  <c r="B15" i="6" s="1"/>
  <c r="E6" i="2"/>
  <c r="D6" i="1" s="1"/>
  <c r="D5" i="1" l="1"/>
  <c r="B6" i="6"/>
  <c r="D13" i="6"/>
  <c r="B28" i="4"/>
  <c r="D14" i="1"/>
  <c r="D13" i="1" l="1"/>
  <c r="B13" i="6" s="1"/>
  <c r="B14" i="6"/>
  <c r="B27" i="1"/>
  <c r="B27" i="6" s="1"/>
  <c r="B5" i="6"/>
  <c r="D28" i="6"/>
  <c r="B26" i="4"/>
  <c r="B28" i="1" l="1"/>
  <c r="B28" i="6" s="1"/>
  <c r="B26" i="1"/>
  <c r="B26" i="6" s="1"/>
  <c r="B30" i="4"/>
  <c r="D30" i="6" s="1"/>
  <c r="D26" i="6"/>
  <c r="B30" i="1" l="1"/>
  <c r="B30" i="6" s="1"/>
  <c r="F6" i="2"/>
  <c r="E7" i="3"/>
  <c r="F7" i="3" s="1"/>
  <c r="E14" i="3" l="1"/>
  <c r="F14" i="3" s="1"/>
  <c r="E6" i="3"/>
  <c r="F6" i="3" s="1"/>
  <c r="C6" i="6" s="1"/>
  <c r="C7" i="6"/>
  <c r="F5" i="3"/>
  <c r="C14" i="6" l="1"/>
  <c r="F13" i="3"/>
  <c r="C5" i="6"/>
  <c r="B27" i="3"/>
  <c r="C13" i="6" l="1"/>
  <c r="B28" i="3"/>
  <c r="C28" i="6" s="1"/>
  <c r="C27" i="6"/>
  <c r="B26" i="3"/>
  <c r="B30" i="3" l="1"/>
  <c r="C30" i="6" s="1"/>
  <c r="C26" i="6"/>
</calcChain>
</file>

<file path=xl/sharedStrings.xml><?xml version="1.0" encoding="utf-8"?>
<sst xmlns="http://schemas.openxmlformats.org/spreadsheetml/2006/main" count="317" uniqueCount="80">
  <si>
    <t>Rörliga kostnader</t>
  </si>
  <si>
    <t>Löner och ersättningar</t>
  </si>
  <si>
    <t>Arbetsgivaravgifter</t>
  </si>
  <si>
    <t>1. Fordonskostnader</t>
  </si>
  <si>
    <t>2. Förarkostnader</t>
  </si>
  <si>
    <t>1.1 Fasta kostnader</t>
  </si>
  <si>
    <t>1.2 Rörliga kostnader</t>
  </si>
  <si>
    <t>Avskrivning</t>
  </si>
  <si>
    <t>kr/år</t>
  </si>
  <si>
    <t>Användning per år</t>
  </si>
  <si>
    <t>Fast del</t>
  </si>
  <si>
    <t>Rörlig del</t>
  </si>
  <si>
    <t>Livslängd</t>
  </si>
  <si>
    <t>kr/mil</t>
  </si>
  <si>
    <t>Däck</t>
  </si>
  <si>
    <t>Reparation och service</t>
  </si>
  <si>
    <t>Drivmedel</t>
  </si>
  <si>
    <t>Avskrivning, fast del</t>
  </si>
  <si>
    <t>Avskrivning, rörlig del</t>
  </si>
  <si>
    <t>Ränta</t>
  </si>
  <si>
    <t>Räntekostnad</t>
  </si>
  <si>
    <t>Fordonsskatt</t>
  </si>
  <si>
    <t>Försäkringar, skador</t>
  </si>
  <si>
    <t>Vägavgifter</t>
  </si>
  <si>
    <t>Övriga fasta kostnader</t>
  </si>
  <si>
    <t>Investering</t>
  </si>
  <si>
    <t>Sverige</t>
  </si>
  <si>
    <t>Anskaffning</t>
  </si>
  <si>
    <t>Restvärde</t>
  </si>
  <si>
    <t>Differens</t>
  </si>
  <si>
    <t>l/mil</t>
  </si>
  <si>
    <t>kr</t>
  </si>
  <si>
    <t>Drivmedelsförbrukning (inkl tillsatser)</t>
  </si>
  <si>
    <t>kr/l</t>
  </si>
  <si>
    <t>Övriga rörliga kostnader</t>
  </si>
  <si>
    <t>Gemensamma data</t>
  </si>
  <si>
    <t>Total årskostnad</t>
  </si>
  <si>
    <t>varav 1.1 Fasta kostnader</t>
  </si>
  <si>
    <t>varav 1.2 Rörliga kostnader</t>
  </si>
  <si>
    <t>Anskaffningskostnad</t>
  </si>
  <si>
    <t>mil/år</t>
  </si>
  <si>
    <t>år</t>
  </si>
  <si>
    <t>Polen</t>
  </si>
  <si>
    <t>Estland</t>
  </si>
  <si>
    <t>Tjeckien</t>
  </si>
  <si>
    <t>Dragbil (utan släp)</t>
  </si>
  <si>
    <t>Vägavgift Sverige</t>
  </si>
  <si>
    <t>Drivmedelskostnad (exkl tillsatser)</t>
  </si>
  <si>
    <t>1 euro i sek</t>
  </si>
  <si>
    <t>1 czk i sek</t>
  </si>
  <si>
    <t>Panteia</t>
  </si>
  <si>
    <t>Kommentarer</t>
  </si>
  <si>
    <t>Inkluderar ersättning för internationellt arbete</t>
  </si>
  <si>
    <t>Sammanställning</t>
  </si>
  <si>
    <t>Kostnader per år</t>
  </si>
  <si>
    <t>CDV</t>
  </si>
  <si>
    <t>Övriga källor</t>
  </si>
  <si>
    <t>Från Codan</t>
  </si>
  <si>
    <t>Valuta (2014-10-13)</t>
  </si>
  <si>
    <t>SÅ Calc</t>
  </si>
  <si>
    <t>Vägavgift i Sverige</t>
  </si>
  <si>
    <t>Kostnad från Globaldebts</t>
  </si>
  <si>
    <t>Uppskattning</t>
  </si>
  <si>
    <t>1 pln i sek</t>
  </si>
  <si>
    <t>EURO 5, 2 axlar</t>
  </si>
  <si>
    <t>Utgångspunkt för beräkningar</t>
  </si>
  <si>
    <t>Vägavgift</t>
  </si>
  <si>
    <t>Sträcka</t>
  </si>
  <si>
    <t>EURO 5, 3 axlar</t>
  </si>
  <si>
    <t>ProTrans II</t>
  </si>
  <si>
    <t>ProTrans I</t>
  </si>
  <si>
    <t>ProTrans I inkluderar kostnad för leasing</t>
  </si>
  <si>
    <t>Drivmedelskostnad från TTK (inklusive rabatt)</t>
  </si>
  <si>
    <t>Skatt från AIA används.</t>
  </si>
  <si>
    <t>Inkluderar övrig service, övriga finansiella kostnader, resekostnader för chaufförer</t>
  </si>
  <si>
    <t>Från estniska Heavy Vehicle Tax Guide</t>
  </si>
  <si>
    <t>1 kroon i sek</t>
  </si>
  <si>
    <t xml:space="preserve">Grönmarkerade kostnader är de som används i kalkylen under Sammanställning. I tillhörande PM motiveras valet av dessa. </t>
  </si>
  <si>
    <t>Beräkningar</t>
  </si>
  <si>
    <t>SÅ Calc beräknar 3,8 liter/mil.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</si>
</sst>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/>
    <xf numFmtId="0" fontId="0" fillId="0" borderId="0" xfId="0" applyFont="1" applyBorder="1"/>
    <xf numFmtId="2" fontId="2" fillId="0" borderId="0" xfId="0" applyNumberFormat="1" applyFont="1" applyBorder="1"/>
    <xf numFmtId="1" fontId="0" fillId="0" borderId="0" xfId="0" applyNumberFormat="1" applyFont="1" applyBorder="1"/>
    <xf numFmtId="0" fontId="7" fillId="0" borderId="0" xfId="0" applyFont="1" applyBorder="1"/>
    <xf numFmtId="0" fontId="0" fillId="0" borderId="4" xfId="0" applyFont="1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3" fillId="0" borderId="4" xfId="0" applyFont="1" applyBorder="1"/>
    <xf numFmtId="0" fontId="4" fillId="0" borderId="5" xfId="0" applyFont="1" applyBorder="1"/>
    <xf numFmtId="1" fontId="4" fillId="0" borderId="1" xfId="0" applyNumberFormat="1" applyFont="1" applyBorder="1"/>
    <xf numFmtId="1" fontId="4" fillId="0" borderId="6" xfId="0" applyNumberFormat="1" applyFont="1" applyBorder="1"/>
    <xf numFmtId="2" fontId="0" fillId="0" borderId="4" xfId="0" applyNumberForma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8" fillId="0" borderId="4" xfId="0" applyNumberFormat="1" applyFont="1" applyBorder="1"/>
    <xf numFmtId="2" fontId="0" fillId="0" borderId="4" xfId="0" applyNumberFormat="1" applyFont="1" applyBorder="1"/>
    <xf numFmtId="0" fontId="1" fillId="0" borderId="0" xfId="0" applyFont="1" applyFill="1" applyBorder="1"/>
    <xf numFmtId="9" fontId="8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0" fontId="0" fillId="0" borderId="0" xfId="0" applyFill="1"/>
    <xf numFmtId="1" fontId="0" fillId="0" borderId="4" xfId="0" applyNumberFormat="1" applyBorder="1"/>
    <xf numFmtId="0" fontId="2" fillId="0" borderId="0" xfId="0" applyFont="1" applyFill="1" applyBorder="1"/>
    <xf numFmtId="1" fontId="1" fillId="0" borderId="0" xfId="0" applyNumberFormat="1" applyFont="1" applyBorder="1"/>
    <xf numFmtId="1" fontId="0" fillId="0" borderId="0" xfId="0" applyNumberFormat="1" applyFont="1" applyFill="1" applyBorder="1"/>
    <xf numFmtId="2" fontId="0" fillId="0" borderId="0" xfId="0" applyNumberFormat="1" applyFont="1" applyBorder="1"/>
    <xf numFmtId="0" fontId="0" fillId="0" borderId="0" xfId="0" applyFont="1" applyFill="1" applyBorder="1"/>
    <xf numFmtId="0" fontId="5" fillId="0" borderId="9" xfId="0" applyFont="1" applyBorder="1" applyAlignment="1">
      <alignment horizontal="center"/>
    </xf>
    <xf numFmtId="0" fontId="0" fillId="0" borderId="2" xfId="0" applyBorder="1"/>
    <xf numFmtId="0" fontId="0" fillId="0" borderId="9" xfId="0" applyBorder="1"/>
    <xf numFmtId="1" fontId="0" fillId="0" borderId="11" xfId="0" applyNumberFormat="1" applyBorder="1"/>
    <xf numFmtId="0" fontId="0" fillId="0" borderId="11" xfId="0" applyBorder="1"/>
    <xf numFmtId="2" fontId="0" fillId="0" borderId="11" xfId="0" applyNumberFormat="1" applyBorder="1"/>
    <xf numFmtId="9" fontId="8" fillId="0" borderId="11" xfId="0" applyNumberFormat="1" applyFont="1" applyBorder="1" applyAlignment="1">
      <alignment horizontal="center"/>
    </xf>
    <xf numFmtId="0" fontId="10" fillId="0" borderId="0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left" vertical="center"/>
    </xf>
    <xf numFmtId="1" fontId="2" fillId="0" borderId="4" xfId="0" applyNumberFormat="1" applyFont="1" applyFill="1" applyBorder="1"/>
    <xf numFmtId="2" fontId="2" fillId="0" borderId="4" xfId="0" applyNumberFormat="1" applyFont="1" applyFill="1" applyBorder="1"/>
    <xf numFmtId="0" fontId="6" fillId="0" borderId="9" xfId="0" applyFont="1" applyBorder="1"/>
    <xf numFmtId="0" fontId="2" fillId="0" borderId="11" xfId="0" applyFont="1" applyBorder="1"/>
    <xf numFmtId="0" fontId="3" fillId="0" borderId="11" xfId="0" applyFont="1" applyBorder="1"/>
    <xf numFmtId="0" fontId="6" fillId="0" borderId="11" xfId="0" applyFont="1" applyBorder="1"/>
    <xf numFmtId="0" fontId="3" fillId="0" borderId="10" xfId="0" applyFont="1" applyBorder="1"/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/>
    <xf numFmtId="1" fontId="0" fillId="0" borderId="1" xfId="0" applyNumberFormat="1" applyFont="1" applyBorder="1"/>
    <xf numFmtId="0" fontId="0" fillId="0" borderId="1" xfId="0" applyFont="1" applyBorder="1"/>
    <xf numFmtId="0" fontId="4" fillId="0" borderId="0" xfId="0" applyFont="1" applyBorder="1"/>
    <xf numFmtId="1" fontId="0" fillId="0" borderId="1" xfId="0" applyNumberFormat="1" applyFont="1" applyFill="1" applyBorder="1"/>
    <xf numFmtId="1" fontId="0" fillId="2" borderId="0" xfId="0" applyNumberFormat="1" applyFont="1" applyFill="1" applyBorder="1"/>
    <xf numFmtId="0" fontId="0" fillId="2" borderId="0" xfId="0" applyFont="1" applyFill="1" applyBorder="1"/>
    <xf numFmtId="2" fontId="0" fillId="2" borderId="0" xfId="0" applyNumberFormat="1" applyFont="1" applyFill="1" applyBorder="1"/>
    <xf numFmtId="1" fontId="0" fillId="2" borderId="1" xfId="0" applyNumberFormat="1" applyFont="1" applyFill="1" applyBorder="1"/>
    <xf numFmtId="1" fontId="3" fillId="0" borderId="4" xfId="0" applyNumberFormat="1" applyFont="1" applyBorder="1"/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1" fontId="3" fillId="0" borderId="5" xfId="0" applyNumberFormat="1" applyFont="1" applyBorder="1"/>
    <xf numFmtId="0" fontId="2" fillId="0" borderId="7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2" fillId="0" borderId="2" xfId="0" applyFont="1" applyBorder="1"/>
    <xf numFmtId="1" fontId="2" fillId="0" borderId="4" xfId="0" applyNumberFormat="1" applyFont="1" applyBorder="1"/>
    <xf numFmtId="2" fontId="2" fillId="0" borderId="4" xfId="0" applyNumberFormat="1" applyFont="1" applyBorder="1"/>
    <xf numFmtId="0" fontId="1" fillId="0" borderId="0" xfId="0" applyFont="1"/>
    <xf numFmtId="0" fontId="0" fillId="2" borderId="8" xfId="0" applyFill="1" applyBorder="1"/>
    <xf numFmtId="0" fontId="0" fillId="0" borderId="8" xfId="0" applyFont="1" applyBorder="1"/>
    <xf numFmtId="0" fontId="0" fillId="0" borderId="6" xfId="0" applyFont="1" applyBorder="1"/>
    <xf numFmtId="1" fontId="0" fillId="0" borderId="4" xfId="0" applyNumberFormat="1" applyFont="1" applyFill="1" applyBorder="1"/>
    <xf numFmtId="0" fontId="0" fillId="0" borderId="4" xfId="0" applyFont="1" applyFill="1" applyBorder="1"/>
    <xf numFmtId="2" fontId="0" fillId="0" borderId="4" xfId="0" applyNumberFormat="1" applyFont="1" applyFill="1" applyBorder="1"/>
    <xf numFmtId="1" fontId="0" fillId="0" borderId="5" xfId="0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3" fillId="0" borderId="4" xfId="0" applyNumberFormat="1" applyFont="1" applyFill="1" applyBorder="1"/>
    <xf numFmtId="2" fontId="3" fillId="0" borderId="4" xfId="0" applyNumberFormat="1" applyFont="1" applyFill="1" applyBorder="1"/>
    <xf numFmtId="1" fontId="3" fillId="0" borderId="5" xfId="0" applyNumberFormat="1" applyFont="1" applyFill="1" applyBorder="1"/>
    <xf numFmtId="0" fontId="4" fillId="0" borderId="12" xfId="0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3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4" xfId="0" applyBorder="1"/>
    <xf numFmtId="1" fontId="0" fillId="0" borderId="4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0" fillId="0" borderId="5" xfId="0" applyNumberFormat="1" applyFont="1" applyBorder="1"/>
    <xf numFmtId="0" fontId="3" fillId="0" borderId="4" xfId="0" applyFont="1" applyFill="1" applyBorder="1"/>
    <xf numFmtId="1" fontId="2" fillId="0" borderId="7" xfId="0" applyNumberFormat="1" applyFont="1" applyBorder="1"/>
    <xf numFmtId="0" fontId="2" fillId="0" borderId="1" xfId="0" applyFont="1" applyBorder="1"/>
    <xf numFmtId="0" fontId="0" fillId="0" borderId="7" xfId="0" applyFont="1" applyBorder="1"/>
    <xf numFmtId="1" fontId="2" fillId="0" borderId="1" xfId="0" applyNumberFormat="1" applyFont="1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44" fontId="0" fillId="0" borderId="0" xfId="1" applyFont="1"/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1" applyNumberFormat="1" applyFont="1" applyAlignment="1">
      <alignment horizontal="left" vertical="top"/>
    </xf>
    <xf numFmtId="44" fontId="0" fillId="0" borderId="0" xfId="0" applyNumberFormat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1" fontId="0" fillId="0" borderId="0" xfId="0" applyNumberFormat="1"/>
    <xf numFmtId="1" fontId="8" fillId="0" borderId="0" xfId="0" applyNumberFormat="1" applyFont="1" applyBorder="1"/>
    <xf numFmtId="0" fontId="0" fillId="0" borderId="11" xfId="0" applyFont="1" applyBorder="1"/>
    <xf numFmtId="2" fontId="8" fillId="0" borderId="11" xfId="0" applyNumberFormat="1" applyFont="1" applyBorder="1"/>
    <xf numFmtId="9" fontId="8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2" fontId="0" fillId="0" borderId="0" xfId="0" applyNumberFormat="1"/>
    <xf numFmtId="1" fontId="0" fillId="0" borderId="0" xfId="0" applyNumberFormat="1" applyFill="1"/>
    <xf numFmtId="1" fontId="0" fillId="0" borderId="1" xfId="0" applyNumberFormat="1" applyFill="1" applyBorder="1"/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Åkerinäringens</a:t>
            </a:r>
            <a:r>
              <a:rPr lang="sv-SE" baseline="0"/>
              <a:t> k</a:t>
            </a:r>
            <a:r>
              <a:rPr lang="sv-SE"/>
              <a:t>ostnadsbild</a:t>
            </a:r>
            <a:r>
              <a:rPr lang="sv-SE" baseline="0"/>
              <a:t> (SEK/år)</a:t>
            </a:r>
            <a:endParaRPr lang="sv-SE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Fordonskostnader - fasta</c:v>
          </c:tx>
          <c:invertIfNegative val="0"/>
          <c:cat>
            <c:strRef>
              <c:f>Resultatjämförelse!$B$25:$E$25</c:f>
              <c:strCache>
                <c:ptCount val="4"/>
                <c:pt idx="0">
                  <c:v>Sverige</c:v>
                </c:pt>
                <c:pt idx="1">
                  <c:v>Polen</c:v>
                </c:pt>
                <c:pt idx="2">
                  <c:v>Estland</c:v>
                </c:pt>
                <c:pt idx="3">
                  <c:v>Tjeckien</c:v>
                </c:pt>
              </c:strCache>
            </c:strRef>
          </c:cat>
          <c:val>
            <c:numRef>
              <c:f>Resultatjämförelse!$B$27:$E$27</c:f>
              <c:numCache>
                <c:formatCode>0</c:formatCode>
                <c:ptCount val="4"/>
                <c:pt idx="0">
                  <c:v>141267.25</c:v>
                </c:pt>
                <c:pt idx="1">
                  <c:v>118556.501005</c:v>
                </c:pt>
                <c:pt idx="2">
                  <c:v>99913.964999860007</c:v>
                </c:pt>
                <c:pt idx="3">
                  <c:v>124402.86137884652</c:v>
                </c:pt>
              </c:numCache>
            </c:numRef>
          </c:val>
        </c:ser>
        <c:ser>
          <c:idx val="2"/>
          <c:order val="1"/>
          <c:tx>
            <c:v>Fordonskostnader - rörliga</c:v>
          </c:tx>
          <c:invertIfNegative val="0"/>
          <c:cat>
            <c:strRef>
              <c:f>Resultatjämförelse!$B$25:$E$25</c:f>
              <c:strCache>
                <c:ptCount val="4"/>
                <c:pt idx="0">
                  <c:v>Sverige</c:v>
                </c:pt>
                <c:pt idx="1">
                  <c:v>Polen</c:v>
                </c:pt>
                <c:pt idx="2">
                  <c:v>Estland</c:v>
                </c:pt>
                <c:pt idx="3">
                  <c:v>Tjeckien</c:v>
                </c:pt>
              </c:strCache>
            </c:strRef>
          </c:cat>
          <c:val>
            <c:numRef>
              <c:f>Resultatjämförelse!$B$28:$E$28</c:f>
              <c:numCache>
                <c:formatCode>0</c:formatCode>
                <c:ptCount val="4"/>
                <c:pt idx="0">
                  <c:v>672419.67</c:v>
                </c:pt>
                <c:pt idx="1">
                  <c:v>536458.17075561092</c:v>
                </c:pt>
                <c:pt idx="2">
                  <c:v>568268.85383579996</c:v>
                </c:pt>
                <c:pt idx="3">
                  <c:v>591224.15028872248</c:v>
                </c:pt>
              </c:numCache>
            </c:numRef>
          </c:val>
        </c:ser>
        <c:ser>
          <c:idx val="3"/>
          <c:order val="2"/>
          <c:tx>
            <c:v>Förarkostnader</c:v>
          </c:tx>
          <c:invertIfNegative val="0"/>
          <c:cat>
            <c:strRef>
              <c:f>Resultatjämförelse!$B$25:$E$25</c:f>
              <c:strCache>
                <c:ptCount val="4"/>
                <c:pt idx="0">
                  <c:v>Sverige</c:v>
                </c:pt>
                <c:pt idx="1">
                  <c:v>Polen</c:v>
                </c:pt>
                <c:pt idx="2">
                  <c:v>Estland</c:v>
                </c:pt>
                <c:pt idx="3">
                  <c:v>Tjeckien</c:v>
                </c:pt>
              </c:strCache>
            </c:strRef>
          </c:cat>
          <c:val>
            <c:numRef>
              <c:f>Resultatjämförelse!$B$29:$E$29</c:f>
              <c:numCache>
                <c:formatCode>0</c:formatCode>
                <c:ptCount val="4"/>
                <c:pt idx="0">
                  <c:v>625098</c:v>
                </c:pt>
                <c:pt idx="1">
                  <c:v>359835.88059900003</c:v>
                </c:pt>
                <c:pt idx="2">
                  <c:v>244240.60304479679</c:v>
                </c:pt>
                <c:pt idx="3">
                  <c:v>216706.29973612202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54336"/>
        <c:axId val="38656256"/>
      </c:barChart>
      <c:catAx>
        <c:axId val="3865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38656256"/>
        <c:crosses val="autoZero"/>
        <c:auto val="1"/>
        <c:lblAlgn val="ctr"/>
        <c:lblOffset val="100"/>
        <c:noMultiLvlLbl val="0"/>
      </c:catAx>
      <c:valAx>
        <c:axId val="3865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865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232833</xdr:colOff>
      <xdr:row>3</xdr:row>
      <xdr:rowOff>30690</xdr:rowOff>
    </xdr:from>
    <xdr:to>
      <xdr:col>18</xdr:col>
      <xdr:colOff>412750</xdr:colOff>
      <xdr:row>25</xdr:row>
      <xdr:rowOff>148167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90" zoomScaleNormal="90" workbookViewId="0">
      <selection activeCell="D15" sqref="D15"/>
    </sheetView>
  </sheetViews>
  <sheetFormatPr defaultRowHeight="15" x14ac:dyDescent="0.25"/>
  <cols>
    <col min="1" max="1" width="19" customWidth="1"/>
    <col min="2" max="2" width="7.7109375" customWidth="1"/>
    <col min="4" max="4" width="35.7109375" bestFit="1" customWidth="1"/>
    <col min="5" max="5" width="11" customWidth="1"/>
    <col min="6" max="6" width="10.7109375" customWidth="1"/>
    <col min="7" max="7" width="12" customWidth="1"/>
    <col min="8" max="8" width="11.140625" customWidth="1"/>
  </cols>
  <sheetData>
    <row r="1" spans="1:10" ht="18.75" x14ac:dyDescent="0.3">
      <c r="A1" s="138" t="s">
        <v>35</v>
      </c>
      <c r="B1" s="138"/>
      <c r="E1" s="29" t="s">
        <v>26</v>
      </c>
      <c r="F1" s="29" t="s">
        <v>42</v>
      </c>
      <c r="G1" s="29" t="s">
        <v>43</v>
      </c>
      <c r="H1" s="39" t="s">
        <v>44</v>
      </c>
    </row>
    <row r="2" spans="1:10" x14ac:dyDescent="0.25">
      <c r="A2" s="1" t="s">
        <v>9</v>
      </c>
      <c r="E2" s="139" t="s">
        <v>65</v>
      </c>
      <c r="F2" s="140"/>
      <c r="G2" s="140"/>
      <c r="H2" s="141"/>
      <c r="J2" s="27"/>
    </row>
    <row r="3" spans="1:10" x14ac:dyDescent="0.25">
      <c r="A3" t="s">
        <v>67</v>
      </c>
      <c r="B3" s="32">
        <v>13000</v>
      </c>
      <c r="C3" t="s">
        <v>40</v>
      </c>
      <c r="D3" s="4" t="s">
        <v>27</v>
      </c>
      <c r="E3" s="40"/>
      <c r="F3" s="40"/>
      <c r="G3" s="40"/>
      <c r="H3" s="41"/>
      <c r="I3" s="7"/>
    </row>
    <row r="4" spans="1:10" x14ac:dyDescent="0.25">
      <c r="D4" s="5" t="s">
        <v>39</v>
      </c>
      <c r="E4" s="6">
        <v>1060200</v>
      </c>
      <c r="F4" s="33">
        <f>90000*B10</f>
        <v>820138.75920000009</v>
      </c>
      <c r="G4" s="33">
        <f>90000*B10</f>
        <v>820138.75920000009</v>
      </c>
      <c r="H4" s="42">
        <f>90000*B10</f>
        <v>820138.75920000009</v>
      </c>
      <c r="I4" s="7" t="s">
        <v>31</v>
      </c>
    </row>
    <row r="5" spans="1:10" x14ac:dyDescent="0.25">
      <c r="A5" s="1" t="s">
        <v>7</v>
      </c>
      <c r="D5" s="5" t="s">
        <v>28</v>
      </c>
      <c r="E5" s="6">
        <v>80000</v>
      </c>
      <c r="F5" s="33">
        <f>62212+757927/8</f>
        <v>156952.875</v>
      </c>
      <c r="G5" s="33">
        <v>62212</v>
      </c>
      <c r="H5" s="42">
        <v>62212</v>
      </c>
      <c r="I5" s="7" t="s">
        <v>31</v>
      </c>
    </row>
    <row r="6" spans="1:10" x14ac:dyDescent="0.25">
      <c r="A6" t="s">
        <v>10</v>
      </c>
      <c r="B6" s="3">
        <v>0.25</v>
      </c>
      <c r="D6" s="5" t="s">
        <v>29</v>
      </c>
      <c r="E6" s="6">
        <f>E4-E5</f>
        <v>980200</v>
      </c>
      <c r="F6" s="33">
        <f>F4-F5</f>
        <v>663185.88420000009</v>
      </c>
      <c r="G6" s="33">
        <f>G4-G5</f>
        <v>757926.75920000009</v>
      </c>
      <c r="H6" s="42">
        <f>H4-H5</f>
        <v>757926.75920000009</v>
      </c>
      <c r="I6" s="7" t="s">
        <v>31</v>
      </c>
    </row>
    <row r="7" spans="1:10" x14ac:dyDescent="0.25">
      <c r="A7" t="s">
        <v>11</v>
      </c>
      <c r="B7" s="3">
        <v>0.75</v>
      </c>
      <c r="D7" s="4" t="s">
        <v>0</v>
      </c>
      <c r="E7" s="6"/>
      <c r="F7" s="6"/>
      <c r="G7" s="6"/>
      <c r="H7" s="43"/>
      <c r="I7" s="7"/>
    </row>
    <row r="8" spans="1:10" x14ac:dyDescent="0.25">
      <c r="D8" s="5" t="s">
        <v>14</v>
      </c>
      <c r="E8" s="14">
        <v>2.89</v>
      </c>
      <c r="F8" s="14">
        <v>2.0099999999999998</v>
      </c>
      <c r="G8" s="14">
        <v>2.0099999999999998</v>
      </c>
      <c r="H8" s="128">
        <v>2.0099999999999998</v>
      </c>
      <c r="I8" s="7" t="s">
        <v>13</v>
      </c>
    </row>
    <row r="9" spans="1:10" x14ac:dyDescent="0.25">
      <c r="A9" s="1" t="s">
        <v>58</v>
      </c>
      <c r="D9" s="5" t="s">
        <v>15</v>
      </c>
      <c r="E9" s="26">
        <v>5.7</v>
      </c>
      <c r="F9" s="25">
        <f>$E9-$E9*0.7/2</f>
        <v>3.7050000000000001</v>
      </c>
      <c r="G9" s="25">
        <f>$E9-$E9*0.7/2</f>
        <v>3.7050000000000001</v>
      </c>
      <c r="H9" s="129">
        <f>$E9-$E9*0.7/2</f>
        <v>3.7050000000000001</v>
      </c>
      <c r="I9" s="7" t="s">
        <v>13</v>
      </c>
    </row>
    <row r="10" spans="1:10" x14ac:dyDescent="0.25">
      <c r="A10" t="s">
        <v>48</v>
      </c>
      <c r="B10">
        <v>9.1126528800000006</v>
      </c>
      <c r="D10" s="5" t="s">
        <v>32</v>
      </c>
      <c r="E10" s="6">
        <v>3.4</v>
      </c>
      <c r="F10" s="6">
        <v>3.4</v>
      </c>
      <c r="G10" s="6">
        <v>3.4</v>
      </c>
      <c r="H10" s="43">
        <v>3.4</v>
      </c>
      <c r="I10" s="7" t="s">
        <v>30</v>
      </c>
    </row>
    <row r="11" spans="1:10" x14ac:dyDescent="0.25">
      <c r="A11" t="s">
        <v>49</v>
      </c>
      <c r="B11">
        <v>0.33115361999999998</v>
      </c>
      <c r="D11" s="5" t="s">
        <v>47</v>
      </c>
      <c r="E11" s="25">
        <f>11.53*0.92</f>
        <v>10.6076</v>
      </c>
      <c r="F11" s="22">
        <f>9.16310240086*0.92</f>
        <v>8.4300542087911996</v>
      </c>
      <c r="G11" s="22">
        <f>9.50004131835*0.92</f>
        <v>8.7400380128819997</v>
      </c>
      <c r="H11" s="44">
        <f>9.77444103188*0.92</f>
        <v>8.9924857493296013</v>
      </c>
      <c r="I11" s="7" t="s">
        <v>33</v>
      </c>
    </row>
    <row r="12" spans="1:10" x14ac:dyDescent="0.25">
      <c r="A12" t="s">
        <v>63</v>
      </c>
      <c r="B12">
        <v>2.15818105</v>
      </c>
      <c r="D12" s="24" t="s">
        <v>25</v>
      </c>
      <c r="E12" s="28"/>
      <c r="F12" s="28"/>
      <c r="G12" s="28"/>
      <c r="H12" s="45"/>
      <c r="I12" s="7"/>
    </row>
    <row r="13" spans="1:10" x14ac:dyDescent="0.25">
      <c r="A13" t="s">
        <v>76</v>
      </c>
      <c r="B13">
        <v>0.61407085100000003</v>
      </c>
      <c r="D13" s="23" t="s">
        <v>19</v>
      </c>
      <c r="E13" s="45">
        <v>0.04</v>
      </c>
      <c r="F13" s="45">
        <v>0.05</v>
      </c>
      <c r="G13" s="45">
        <v>0.04</v>
      </c>
      <c r="H13" s="130">
        <v>0.04</v>
      </c>
      <c r="I13" s="7"/>
    </row>
    <row r="14" spans="1:10" x14ac:dyDescent="0.25">
      <c r="D14" s="5" t="s">
        <v>12</v>
      </c>
      <c r="E14" s="131">
        <v>8</v>
      </c>
      <c r="F14" s="131">
        <v>7</v>
      </c>
      <c r="G14" s="131">
        <v>8</v>
      </c>
      <c r="H14" s="132">
        <v>8</v>
      </c>
      <c r="I14" s="7"/>
    </row>
    <row r="15" spans="1:10" x14ac:dyDescent="0.25">
      <c r="A15" s="1" t="s">
        <v>66</v>
      </c>
    </row>
    <row r="16" spans="1:10" x14ac:dyDescent="0.25">
      <c r="A16" t="s">
        <v>46</v>
      </c>
      <c r="B16">
        <v>10591</v>
      </c>
      <c r="C16" t="s">
        <v>41</v>
      </c>
    </row>
    <row r="17" spans="4:7" x14ac:dyDescent="0.25">
      <c r="D17" s="2"/>
    </row>
    <row r="18" spans="4:7" x14ac:dyDescent="0.25">
      <c r="D18" s="2"/>
      <c r="F18" s="120"/>
      <c r="G18" s="121"/>
    </row>
    <row r="19" spans="4:7" x14ac:dyDescent="0.25">
      <c r="D19" s="2"/>
      <c r="F19" s="120"/>
      <c r="G19" s="120"/>
    </row>
    <row r="20" spans="4:7" x14ac:dyDescent="0.25">
      <c r="D20" s="2"/>
      <c r="F20" s="120"/>
      <c r="G20" s="120"/>
    </row>
    <row r="21" spans="4:7" x14ac:dyDescent="0.25">
      <c r="D21" s="2"/>
    </row>
    <row r="22" spans="4:7" x14ac:dyDescent="0.25">
      <c r="D22" s="2"/>
    </row>
    <row r="23" spans="4:7" x14ac:dyDescent="0.25">
      <c r="D23" s="2"/>
    </row>
    <row r="24" spans="4:7" x14ac:dyDescent="0.25">
      <c r="D24" s="2"/>
    </row>
  </sheetData>
  <mergeCells count="2">
    <mergeCell ref="A1:B1"/>
    <mergeCell ref="E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90" zoomScaleNormal="90" workbookViewId="0">
      <selection activeCell="F12" sqref="F12"/>
    </sheetView>
  </sheetViews>
  <sheetFormatPr defaultRowHeight="15" x14ac:dyDescent="0.25"/>
  <cols>
    <col min="1" max="1" width="32.7109375" bestFit="1" customWidth="1"/>
    <col min="2" max="2" width="13.85546875" customWidth="1"/>
    <col min="3" max="3" width="14" customWidth="1"/>
    <col min="4" max="4" width="11.140625" customWidth="1"/>
    <col min="5" max="5" width="12.28515625" customWidth="1"/>
    <col min="6" max="6" width="34" customWidth="1"/>
  </cols>
  <sheetData>
    <row r="1" spans="1:6" ht="24.75" x14ac:dyDescent="0.5">
      <c r="A1" s="13" t="s">
        <v>45</v>
      </c>
      <c r="B1" s="7"/>
      <c r="C1" s="7"/>
    </row>
    <row r="2" spans="1:6" ht="15.75" x14ac:dyDescent="0.25">
      <c r="A2" s="61" t="s">
        <v>68</v>
      </c>
      <c r="B2" s="7"/>
      <c r="C2" s="7"/>
    </row>
    <row r="3" spans="1:6" s="7" customFormat="1" ht="15.75" x14ac:dyDescent="0.25">
      <c r="A3" s="46"/>
    </row>
    <row r="4" spans="1:6" ht="15.75" x14ac:dyDescent="0.25">
      <c r="A4" s="52" t="s">
        <v>3</v>
      </c>
      <c r="B4" s="71" t="s">
        <v>59</v>
      </c>
      <c r="C4" s="71" t="s">
        <v>78</v>
      </c>
      <c r="D4" s="142" t="s">
        <v>53</v>
      </c>
      <c r="E4" s="143"/>
      <c r="F4" s="1" t="s">
        <v>51</v>
      </c>
    </row>
    <row r="5" spans="1:6" x14ac:dyDescent="0.25">
      <c r="A5" s="53" t="s">
        <v>5</v>
      </c>
      <c r="B5" s="9"/>
      <c r="C5" s="10"/>
      <c r="D5" s="74">
        <f>SUM(D6:D11)</f>
        <v>141267.25</v>
      </c>
      <c r="E5" s="85" t="s">
        <v>8</v>
      </c>
    </row>
    <row r="6" spans="1:6" x14ac:dyDescent="0.25">
      <c r="A6" s="54" t="s">
        <v>17</v>
      </c>
      <c r="B6" s="63">
        <f>Beräkningsunderlag!E6/Beräkningsunderlag!E14*Beräkningsunderlag!B6</f>
        <v>30631.25</v>
      </c>
      <c r="C6" s="10"/>
      <c r="D6" s="91">
        <f t="shared" ref="D6:D11" si="0">B6</f>
        <v>30631.25</v>
      </c>
      <c r="E6" s="86" t="s">
        <v>8</v>
      </c>
    </row>
    <row r="7" spans="1:6" x14ac:dyDescent="0.25">
      <c r="A7" s="54" t="s">
        <v>20</v>
      </c>
      <c r="B7" s="64">
        <f>((Beräkningsunderlag!E4-Beräkningsunderlag!E5)/2+Beräkningsunderlag!E5)*Beräkningsunderlag!E13</f>
        <v>22804</v>
      </c>
      <c r="C7" s="10"/>
      <c r="D7" s="91">
        <f t="shared" si="0"/>
        <v>22804</v>
      </c>
      <c r="E7" s="86" t="s">
        <v>8</v>
      </c>
    </row>
    <row r="8" spans="1:6" x14ac:dyDescent="0.25">
      <c r="A8" s="54" t="s">
        <v>21</v>
      </c>
      <c r="B8" s="64">
        <v>9991</v>
      </c>
      <c r="C8" s="10"/>
      <c r="D8" s="91">
        <f t="shared" si="0"/>
        <v>9991</v>
      </c>
      <c r="E8" s="86" t="s">
        <v>8</v>
      </c>
    </row>
    <row r="9" spans="1:6" x14ac:dyDescent="0.25">
      <c r="A9" s="54" t="s">
        <v>23</v>
      </c>
      <c r="B9" s="72">
        <v>10591</v>
      </c>
      <c r="C9" s="10"/>
      <c r="D9" s="91">
        <f t="shared" si="0"/>
        <v>10591</v>
      </c>
      <c r="E9" s="86" t="s">
        <v>8</v>
      </c>
    </row>
    <row r="10" spans="1:6" x14ac:dyDescent="0.25">
      <c r="A10" s="54" t="s">
        <v>22</v>
      </c>
      <c r="B10" s="64">
        <v>30000</v>
      </c>
      <c r="C10" s="10"/>
      <c r="D10" s="91">
        <f t="shared" si="0"/>
        <v>30000</v>
      </c>
      <c r="E10" s="86" t="s">
        <v>8</v>
      </c>
    </row>
    <row r="11" spans="1:6" x14ac:dyDescent="0.25">
      <c r="A11" s="54" t="s">
        <v>24</v>
      </c>
      <c r="B11" s="64">
        <v>37250</v>
      </c>
      <c r="C11" s="10"/>
      <c r="D11" s="91">
        <f t="shared" si="0"/>
        <v>37250</v>
      </c>
      <c r="E11" s="86" t="s">
        <v>8</v>
      </c>
    </row>
    <row r="12" spans="1:6" x14ac:dyDescent="0.25">
      <c r="A12" s="43"/>
      <c r="B12" s="10"/>
      <c r="C12" s="10"/>
      <c r="D12" s="110"/>
      <c r="E12" s="86"/>
    </row>
    <row r="13" spans="1:6" x14ac:dyDescent="0.25">
      <c r="A13" s="53" t="s">
        <v>6</v>
      </c>
      <c r="B13" s="11"/>
      <c r="C13" s="10"/>
      <c r="D13" s="75">
        <f>SUM(D14:D18)</f>
        <v>51.724590000000006</v>
      </c>
      <c r="E13" s="85" t="s">
        <v>13</v>
      </c>
    </row>
    <row r="14" spans="1:6" x14ac:dyDescent="0.25">
      <c r="A14" s="54" t="s">
        <v>18</v>
      </c>
      <c r="B14" s="65">
        <f>Beräkningsunderlag!E6/Beräkningsunderlag!E14*Beräkningsunderlag!B7/Beräkningsunderlag!B3</f>
        <v>7.0687499999999996</v>
      </c>
      <c r="C14" s="10"/>
      <c r="D14" s="92">
        <f>B14</f>
        <v>7.0687499999999996</v>
      </c>
      <c r="E14" s="86" t="s">
        <v>13</v>
      </c>
    </row>
    <row r="15" spans="1:6" x14ac:dyDescent="0.25">
      <c r="A15" s="54" t="s">
        <v>14</v>
      </c>
      <c r="B15" s="64">
        <f>Beräkningsunderlag!E8</f>
        <v>2.89</v>
      </c>
      <c r="C15" s="10"/>
      <c r="D15" s="92">
        <f>B15</f>
        <v>2.89</v>
      </c>
      <c r="E15" s="86" t="s">
        <v>13</v>
      </c>
    </row>
    <row r="16" spans="1:6" x14ac:dyDescent="0.25">
      <c r="A16" s="54" t="s">
        <v>15</v>
      </c>
      <c r="B16" s="65">
        <f>Beräkningsunderlag!E9</f>
        <v>5.7</v>
      </c>
      <c r="C16" s="10"/>
      <c r="D16" s="92">
        <f>B16</f>
        <v>5.7</v>
      </c>
      <c r="E16" s="86" t="s">
        <v>13</v>
      </c>
    </row>
    <row r="17" spans="1:8" x14ac:dyDescent="0.25">
      <c r="A17" s="54" t="s">
        <v>16</v>
      </c>
      <c r="B17" s="10">
        <v>40.659999999999997</v>
      </c>
      <c r="C17" s="65">
        <f>Beräkningsunderlag!E10*Beräkningsunderlag!E11</f>
        <v>36.065840000000001</v>
      </c>
      <c r="D17" s="92">
        <f>C17</f>
        <v>36.065840000000001</v>
      </c>
      <c r="E17" s="86" t="s">
        <v>13</v>
      </c>
      <c r="F17" t="s">
        <v>79</v>
      </c>
    </row>
    <row r="18" spans="1:8" x14ac:dyDescent="0.25">
      <c r="A18" s="54" t="s">
        <v>34</v>
      </c>
      <c r="B18" s="64">
        <v>0</v>
      </c>
      <c r="C18" s="10"/>
      <c r="D18" s="110">
        <f>B18</f>
        <v>0</v>
      </c>
      <c r="E18" s="86" t="s">
        <v>13</v>
      </c>
    </row>
    <row r="19" spans="1:8" x14ac:dyDescent="0.25">
      <c r="A19" s="43"/>
      <c r="B19" s="10"/>
      <c r="C19" s="10"/>
      <c r="D19" s="110"/>
      <c r="E19" s="86"/>
    </row>
    <row r="20" spans="1:8" ht="15.75" x14ac:dyDescent="0.25">
      <c r="A20" s="55" t="s">
        <v>4</v>
      </c>
      <c r="B20" s="8"/>
      <c r="C20" s="10"/>
      <c r="D20" s="48">
        <f>SUM(D21:D22)</f>
        <v>625098</v>
      </c>
      <c r="E20" s="85" t="s">
        <v>8</v>
      </c>
    </row>
    <row r="21" spans="1:8" x14ac:dyDescent="0.25">
      <c r="A21" s="54" t="s">
        <v>1</v>
      </c>
      <c r="B21" s="63">
        <f>304499*1.5</f>
        <v>456748.5</v>
      </c>
      <c r="C21" s="10"/>
      <c r="D21" s="91">
        <f>B21</f>
        <v>456748.5</v>
      </c>
      <c r="E21" s="86" t="s">
        <v>8</v>
      </c>
    </row>
    <row r="22" spans="1:8" x14ac:dyDescent="0.25">
      <c r="A22" s="56" t="s">
        <v>2</v>
      </c>
      <c r="B22" s="66">
        <f>112233*1.5</f>
        <v>168349.5</v>
      </c>
      <c r="C22" s="60"/>
      <c r="D22" s="93">
        <f>B22</f>
        <v>168349.5</v>
      </c>
      <c r="E22" s="87" t="s">
        <v>8</v>
      </c>
    </row>
    <row r="23" spans="1:8" x14ac:dyDescent="0.25">
      <c r="A23" s="125" t="s">
        <v>77</v>
      </c>
      <c r="B23" s="125"/>
      <c r="C23" s="125"/>
      <c r="D23" s="125"/>
      <c r="E23" s="125"/>
      <c r="F23" s="125"/>
      <c r="G23" s="124"/>
      <c r="H23" s="124"/>
    </row>
    <row r="24" spans="1:8" x14ac:dyDescent="0.25">
      <c r="A24" s="7"/>
      <c r="B24" s="7"/>
      <c r="C24" s="7"/>
    </row>
    <row r="25" spans="1:8" ht="15.75" x14ac:dyDescent="0.25">
      <c r="A25" s="97" t="s">
        <v>54</v>
      </c>
      <c r="B25" s="15"/>
      <c r="C25" s="16"/>
    </row>
    <row r="26" spans="1:8" x14ac:dyDescent="0.25">
      <c r="A26" s="73" t="s">
        <v>3</v>
      </c>
      <c r="B26" s="111">
        <f>SUM(B27:B28)</f>
        <v>813686.92</v>
      </c>
      <c r="C26" s="99" t="s">
        <v>8</v>
      </c>
    </row>
    <row r="27" spans="1:8" x14ac:dyDescent="0.25">
      <c r="A27" s="14" t="s">
        <v>37</v>
      </c>
      <c r="B27" s="12">
        <f>D5</f>
        <v>141267.25</v>
      </c>
      <c r="C27" s="78" t="s">
        <v>8</v>
      </c>
    </row>
    <row r="28" spans="1:8" x14ac:dyDescent="0.25">
      <c r="A28" s="14" t="s">
        <v>38</v>
      </c>
      <c r="B28" s="12">
        <f>D13*Beräkningsunderlag!B3</f>
        <v>672419.67</v>
      </c>
      <c r="C28" s="78" t="s">
        <v>8</v>
      </c>
    </row>
    <row r="29" spans="1:8" x14ac:dyDescent="0.25">
      <c r="A29" s="115" t="s">
        <v>4</v>
      </c>
      <c r="B29" s="112">
        <f>D20</f>
        <v>625098</v>
      </c>
      <c r="C29" s="79" t="s">
        <v>8</v>
      </c>
    </row>
    <row r="30" spans="1:8" ht="15.75" x14ac:dyDescent="0.25">
      <c r="A30" s="19" t="s">
        <v>36</v>
      </c>
      <c r="B30" s="20">
        <f>B26+B29</f>
        <v>1438784.92</v>
      </c>
      <c r="C30" s="21" t="s">
        <v>8</v>
      </c>
    </row>
    <row r="31" spans="1:8" x14ac:dyDescent="0.25">
      <c r="A31" s="7"/>
      <c r="B31" s="7"/>
      <c r="C31" s="7"/>
    </row>
    <row r="32" spans="1:8" x14ac:dyDescent="0.25">
      <c r="A32" s="7"/>
      <c r="B32" s="7"/>
      <c r="C32" s="7"/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90" zoomScaleNormal="90" workbookViewId="0">
      <selection activeCell="E5" sqref="E5"/>
    </sheetView>
  </sheetViews>
  <sheetFormatPr defaultRowHeight="15" x14ac:dyDescent="0.25"/>
  <cols>
    <col min="1" max="1" width="33.42578125" customWidth="1"/>
    <col min="2" max="2" width="13.7109375" customWidth="1"/>
    <col min="3" max="3" width="12.28515625" customWidth="1"/>
    <col min="4" max="4" width="14.140625" customWidth="1"/>
    <col min="5" max="5" width="12.140625" bestFit="1" customWidth="1"/>
    <col min="6" max="6" width="16.28515625" bestFit="1" customWidth="1"/>
    <col min="7" max="7" width="9.28515625" customWidth="1"/>
    <col min="8" max="8" width="59" bestFit="1" customWidth="1"/>
    <col min="10" max="10" width="11.28515625" customWidth="1"/>
    <col min="11" max="11" width="14.140625" customWidth="1"/>
    <col min="13" max="13" width="16.140625" bestFit="1" customWidth="1"/>
    <col min="14" max="14" width="14" customWidth="1"/>
    <col min="17" max="17" width="14.5703125" bestFit="1" customWidth="1"/>
  </cols>
  <sheetData>
    <row r="1" spans="1:15" ht="24.75" x14ac:dyDescent="0.5">
      <c r="A1" s="13" t="s">
        <v>45</v>
      </c>
      <c r="B1" s="7"/>
      <c r="C1" s="7"/>
      <c r="D1" s="7"/>
    </row>
    <row r="2" spans="1:15" ht="15.75" x14ac:dyDescent="0.25">
      <c r="A2" s="61" t="s">
        <v>64</v>
      </c>
      <c r="B2" s="7"/>
      <c r="C2" s="7"/>
      <c r="D2" s="7"/>
    </row>
    <row r="3" spans="1:15" ht="15.75" x14ac:dyDescent="0.25">
      <c r="A3" s="46"/>
      <c r="B3" s="7"/>
      <c r="C3" s="7"/>
      <c r="D3" s="7"/>
    </row>
    <row r="4" spans="1:15" ht="15.75" x14ac:dyDescent="0.25">
      <c r="A4" s="52" t="s">
        <v>3</v>
      </c>
      <c r="B4" s="71" t="s">
        <v>70</v>
      </c>
      <c r="C4" s="71" t="s">
        <v>69</v>
      </c>
      <c r="D4" s="71" t="s">
        <v>50</v>
      </c>
      <c r="E4" s="71" t="s">
        <v>78</v>
      </c>
      <c r="F4" s="49" t="s">
        <v>53</v>
      </c>
      <c r="G4" s="47"/>
      <c r="H4" s="1" t="s">
        <v>51</v>
      </c>
      <c r="O4" s="124"/>
    </row>
    <row r="5" spans="1:15" x14ac:dyDescent="0.25">
      <c r="A5" s="53" t="s">
        <v>5</v>
      </c>
      <c r="B5" s="30"/>
      <c r="D5" s="7"/>
      <c r="E5" s="7"/>
      <c r="F5" s="50">
        <f>SUM(F6:F11)</f>
        <v>118556.501005</v>
      </c>
      <c r="G5" s="116" t="s">
        <v>8</v>
      </c>
    </row>
    <row r="6" spans="1:15" x14ac:dyDescent="0.25">
      <c r="A6" s="54" t="s">
        <v>17</v>
      </c>
      <c r="B6" s="36">
        <v>38405</v>
      </c>
      <c r="C6" s="126">
        <f>30000*Beräkningsunderlag!B10</f>
        <v>273379.58640000003</v>
      </c>
      <c r="D6" s="10"/>
      <c r="E6" s="63">
        <f>Beräkningsunderlag!F6*Beräkningsunderlag!B6/7</f>
        <v>23685.210150000003</v>
      </c>
      <c r="F6" s="67">
        <f>E6</f>
        <v>23685.210150000003</v>
      </c>
      <c r="G6" s="106" t="s">
        <v>8</v>
      </c>
      <c r="H6" s="76"/>
    </row>
    <row r="7" spans="1:15" x14ac:dyDescent="0.25">
      <c r="A7" s="54" t="s">
        <v>20</v>
      </c>
      <c r="B7" s="38">
        <v>62039</v>
      </c>
      <c r="C7">
        <v>0</v>
      </c>
      <c r="D7" s="10"/>
      <c r="E7" s="63">
        <f>((Beräkningsunderlag!F4-Beräkningsunderlag!F5)/2+Beräkningsunderlag!F5)*Beräkningsunderlag!F13</f>
        <v>24427.290855000003</v>
      </c>
      <c r="F7" s="67">
        <f>E7</f>
        <v>24427.290855000003</v>
      </c>
      <c r="G7" s="106" t="s">
        <v>8</v>
      </c>
      <c r="H7" t="s">
        <v>71</v>
      </c>
    </row>
    <row r="8" spans="1:15" x14ac:dyDescent="0.25">
      <c r="A8" s="54" t="s">
        <v>21</v>
      </c>
      <c r="B8" s="64">
        <v>6676</v>
      </c>
      <c r="C8" s="126">
        <f>625*Beräkningsunderlag!B$10</f>
        <v>5695.40805</v>
      </c>
      <c r="D8" s="10"/>
      <c r="E8" s="10"/>
      <c r="F8" s="18">
        <f>B8</f>
        <v>6676</v>
      </c>
      <c r="G8" s="106" t="s">
        <v>8</v>
      </c>
    </row>
    <row r="9" spans="1:15" x14ac:dyDescent="0.25">
      <c r="A9" s="54" t="s">
        <v>23</v>
      </c>
      <c r="B9" s="57"/>
      <c r="C9" s="126"/>
      <c r="D9" s="10"/>
      <c r="E9" s="64">
        <f>Beräkningsunderlag!B16</f>
        <v>10591</v>
      </c>
      <c r="F9" s="18">
        <f>E9</f>
        <v>10591</v>
      </c>
      <c r="G9" s="106" t="s">
        <v>8</v>
      </c>
      <c r="H9" t="s">
        <v>60</v>
      </c>
    </row>
    <row r="10" spans="1:15" x14ac:dyDescent="0.25">
      <c r="A10" s="54" t="s">
        <v>22</v>
      </c>
      <c r="B10" s="64">
        <v>35451</v>
      </c>
      <c r="C10" s="126">
        <f>1900*Beräkningsunderlag!B$10</f>
        <v>17314.040472000001</v>
      </c>
      <c r="D10" s="10"/>
      <c r="E10" s="10"/>
      <c r="F10" s="18">
        <f>B10</f>
        <v>35451</v>
      </c>
      <c r="G10" s="106" t="s">
        <v>8</v>
      </c>
      <c r="K10" s="122"/>
    </row>
    <row r="11" spans="1:15" x14ac:dyDescent="0.25">
      <c r="A11" s="54" t="s">
        <v>24</v>
      </c>
      <c r="B11" s="64">
        <v>17726</v>
      </c>
      <c r="C11" s="126">
        <f>2000*Beräkningsunderlag!B$10</f>
        <v>18225.305760000003</v>
      </c>
      <c r="D11" s="10"/>
      <c r="E11" s="10"/>
      <c r="F11" s="18">
        <f>B11</f>
        <v>17726</v>
      </c>
      <c r="G11" s="106" t="s">
        <v>8</v>
      </c>
      <c r="K11" s="122"/>
    </row>
    <row r="12" spans="1:15" x14ac:dyDescent="0.25">
      <c r="A12" s="43"/>
      <c r="B12" s="38"/>
      <c r="C12" s="32"/>
      <c r="D12" s="10"/>
      <c r="E12" s="10"/>
      <c r="F12" s="18"/>
      <c r="G12" s="106"/>
      <c r="K12" s="122"/>
    </row>
    <row r="13" spans="1:15" x14ac:dyDescent="0.25">
      <c r="A13" s="53" t="s">
        <v>6</v>
      </c>
      <c r="B13" s="31"/>
      <c r="C13" s="32"/>
      <c r="D13" s="10"/>
      <c r="E13" s="10"/>
      <c r="F13" s="51">
        <f>SUM(F14:F18)</f>
        <v>41.266013135046997</v>
      </c>
      <c r="G13" s="116" t="s">
        <v>13</v>
      </c>
      <c r="K13" s="122"/>
      <c r="L13" s="123"/>
    </row>
    <row r="14" spans="1:15" x14ac:dyDescent="0.25">
      <c r="A14" s="54" t="s">
        <v>18</v>
      </c>
      <c r="B14" s="36">
        <v>0</v>
      </c>
      <c r="C14" s="32">
        <v>0</v>
      </c>
      <c r="D14" s="10"/>
      <c r="E14" s="65">
        <f>Beräkningsunderlag!F6*Beräkningsunderlag!B7/Beräkningsunderlag!B3/7</f>
        <v>5.4658177269230777</v>
      </c>
      <c r="F14" s="69">
        <f>E14</f>
        <v>5.4658177269230777</v>
      </c>
      <c r="G14" s="106" t="s">
        <v>13</v>
      </c>
      <c r="H14" s="76"/>
      <c r="K14" s="122"/>
      <c r="L14" s="123"/>
    </row>
    <row r="15" spans="1:15" x14ac:dyDescent="0.25">
      <c r="A15" s="54" t="s">
        <v>14</v>
      </c>
      <c r="B15" s="65">
        <f>2708/Beräkningsunderlag!B3*Beräkningsunderlag!B10</f>
        <v>1.8982356922338464</v>
      </c>
      <c r="C15" s="135">
        <f>2708*Beräkningsunderlag!B$10/12000</f>
        <v>2.05642199992</v>
      </c>
      <c r="D15" s="10"/>
      <c r="E15" s="38">
        <f>Beräkningsunderlag!F8</f>
        <v>2.0099999999999998</v>
      </c>
      <c r="F15" s="69">
        <f>B15</f>
        <v>1.8982356922338464</v>
      </c>
      <c r="G15" s="106" t="s">
        <v>13</v>
      </c>
      <c r="K15" s="122"/>
      <c r="L15" s="123"/>
    </row>
    <row r="16" spans="1:15" x14ac:dyDescent="0.25">
      <c r="A16" s="54" t="s">
        <v>15</v>
      </c>
      <c r="B16" s="65">
        <f>0.225*Beräkningsunderlag!B10</f>
        <v>2.0503468980000004</v>
      </c>
      <c r="C16" s="135">
        <f>6000*Beräkningsunderlag!B$10/12000</f>
        <v>4.5563264400000003</v>
      </c>
      <c r="D16" s="10"/>
      <c r="E16" s="58">
        <f>Beräkningsunderlag!F9</f>
        <v>3.7050000000000001</v>
      </c>
      <c r="F16" s="69">
        <f>B16</f>
        <v>2.0503468980000004</v>
      </c>
      <c r="G16" s="106" t="s">
        <v>13</v>
      </c>
      <c r="K16" s="122"/>
      <c r="L16" s="123"/>
    </row>
    <row r="17" spans="1:17" x14ac:dyDescent="0.25">
      <c r="A17" s="54" t="s">
        <v>16</v>
      </c>
      <c r="B17" s="58">
        <f>5.1/1.23*Beräkningsunderlag!B12*Beräkningsunderlag!G10</f>
        <v>30.425088948780491</v>
      </c>
      <c r="C17" s="135">
        <f>2000*Beräkningsunderlag!B$10/12000</f>
        <v>1.5187754800000002</v>
      </c>
      <c r="D17" s="10"/>
      <c r="E17" s="65">
        <f>Beräkningsunderlag!F10*Beräkningsunderlag!F11</f>
        <v>28.662184309890076</v>
      </c>
      <c r="F17" s="92">
        <f>E17</f>
        <v>28.662184309890076</v>
      </c>
      <c r="G17" s="106" t="s">
        <v>13</v>
      </c>
      <c r="K17" s="122"/>
      <c r="L17" s="123"/>
    </row>
    <row r="18" spans="1:17" x14ac:dyDescent="0.25">
      <c r="A18" s="54" t="s">
        <v>34</v>
      </c>
      <c r="B18" s="65">
        <f>0.35*Beräkningsunderlag!B10</f>
        <v>3.1894285080000002</v>
      </c>
      <c r="C18" s="135">
        <f>1625*Beräkningsunderlag!B$10/12000</f>
        <v>1.2340050775000002</v>
      </c>
      <c r="D18" s="10"/>
      <c r="E18" s="38"/>
      <c r="F18" s="69">
        <f>B18</f>
        <v>3.1894285080000002</v>
      </c>
      <c r="G18" s="106" t="s">
        <v>13</v>
      </c>
      <c r="K18" s="122"/>
      <c r="L18" s="123"/>
    </row>
    <row r="19" spans="1:17" x14ac:dyDescent="0.25">
      <c r="A19" s="43"/>
      <c r="B19" s="38"/>
      <c r="C19" s="32"/>
      <c r="D19" s="10"/>
      <c r="E19" s="10"/>
      <c r="F19" s="18"/>
      <c r="G19" s="106"/>
      <c r="K19" s="122"/>
      <c r="L19" s="123"/>
    </row>
    <row r="20" spans="1:17" ht="15.75" x14ac:dyDescent="0.25">
      <c r="A20" s="55" t="s">
        <v>4</v>
      </c>
      <c r="B20" s="30"/>
      <c r="C20" s="32"/>
      <c r="D20" s="10"/>
      <c r="E20" s="10"/>
      <c r="F20" s="50">
        <f>SUM(F21:F22)</f>
        <v>359835.88059900003</v>
      </c>
      <c r="G20" s="116" t="s">
        <v>8</v>
      </c>
      <c r="K20" s="122"/>
      <c r="L20" s="123"/>
    </row>
    <row r="21" spans="1:17" x14ac:dyDescent="0.25">
      <c r="A21" s="54" t="s">
        <v>1</v>
      </c>
      <c r="B21" s="63">
        <f>22750*Beräkningsunderlag!B10*1.5</f>
        <v>310969.27953</v>
      </c>
      <c r="C21" s="136">
        <f>22750*Beräkningsunderlag!B10*1.5</f>
        <v>310969.27953</v>
      </c>
      <c r="D21" s="36">
        <f>198754*1.5/1.26</f>
        <v>236611.90476190476</v>
      </c>
      <c r="E21" s="10"/>
      <c r="F21" s="67">
        <f>B21</f>
        <v>310969.27953</v>
      </c>
      <c r="G21" s="106" t="s">
        <v>8</v>
      </c>
      <c r="H21" s="32"/>
      <c r="K21" s="122"/>
      <c r="L21" s="123"/>
    </row>
    <row r="22" spans="1:17" x14ac:dyDescent="0.25">
      <c r="A22" s="56" t="s">
        <v>2</v>
      </c>
      <c r="B22" s="66">
        <f>3575*Beräkningsunderlag!B10*1.5</f>
        <v>48866.601069000004</v>
      </c>
      <c r="C22" s="137">
        <f>3575*Beräkningsunderlag!B10*1.5</f>
        <v>48866.601069000004</v>
      </c>
      <c r="D22" s="59">
        <f>198754*1.5-D21</f>
        <v>61519.095238095237</v>
      </c>
      <c r="E22" s="60"/>
      <c r="F22" s="70">
        <f>B22</f>
        <v>48866.601069000004</v>
      </c>
      <c r="G22" s="117" t="s">
        <v>8</v>
      </c>
      <c r="H22" t="s">
        <v>52</v>
      </c>
      <c r="K22" s="122"/>
      <c r="L22" s="123"/>
    </row>
    <row r="23" spans="1:17" x14ac:dyDescent="0.25">
      <c r="A23" s="125" t="s">
        <v>77</v>
      </c>
      <c r="B23" s="64"/>
      <c r="C23" s="133"/>
      <c r="D23" s="133"/>
      <c r="E23" s="134"/>
      <c r="F23" s="134"/>
      <c r="G23" s="134"/>
      <c r="J23" s="122"/>
    </row>
    <row r="24" spans="1:17" x14ac:dyDescent="0.25">
      <c r="A24" s="7"/>
      <c r="B24" s="7"/>
      <c r="C24" s="7"/>
      <c r="D24" s="7"/>
      <c r="J24" s="122"/>
    </row>
    <row r="25" spans="1:17" ht="15.75" x14ac:dyDescent="0.25">
      <c r="A25" s="97" t="s">
        <v>54</v>
      </c>
      <c r="B25" s="113"/>
      <c r="C25" s="99"/>
      <c r="J25" s="122"/>
      <c r="P25" s="119"/>
    </row>
    <row r="26" spans="1:17" x14ac:dyDescent="0.25">
      <c r="A26" s="73" t="s">
        <v>3</v>
      </c>
      <c r="B26" s="111">
        <f>SUM(B27:B28)</f>
        <v>655014.67176061089</v>
      </c>
      <c r="C26" s="99" t="s">
        <v>8</v>
      </c>
      <c r="J26" s="122"/>
      <c r="P26" s="119"/>
    </row>
    <row r="27" spans="1:17" x14ac:dyDescent="0.25">
      <c r="A27" s="14" t="s">
        <v>37</v>
      </c>
      <c r="B27" s="12">
        <f>F5</f>
        <v>118556.501005</v>
      </c>
      <c r="C27" s="78" t="s">
        <v>8</v>
      </c>
      <c r="J27" s="122"/>
      <c r="P27" s="119"/>
    </row>
    <row r="28" spans="1:17" x14ac:dyDescent="0.25">
      <c r="A28" s="14" t="s">
        <v>38</v>
      </c>
      <c r="B28" s="12">
        <f>F13*Beräkningsunderlag!B3</f>
        <v>536458.17075561092</v>
      </c>
      <c r="C28" s="78" t="s">
        <v>8</v>
      </c>
      <c r="J28" s="122"/>
      <c r="P28" s="119"/>
    </row>
    <row r="29" spans="1:17" x14ac:dyDescent="0.25">
      <c r="A29" s="115" t="s">
        <v>4</v>
      </c>
      <c r="B29" s="114">
        <f>F20</f>
        <v>359835.88059900003</v>
      </c>
      <c r="C29" s="79" t="s">
        <v>8</v>
      </c>
      <c r="J29" s="122"/>
      <c r="P29" s="119"/>
    </row>
    <row r="30" spans="1:17" ht="15.75" x14ac:dyDescent="0.25">
      <c r="A30" s="19" t="s">
        <v>36</v>
      </c>
      <c r="B30" s="20">
        <f>B26+B29</f>
        <v>1014850.5523596109</v>
      </c>
      <c r="C30" s="21" t="s">
        <v>8</v>
      </c>
      <c r="J30" s="122"/>
      <c r="P30" s="119"/>
    </row>
    <row r="31" spans="1:17" x14ac:dyDescent="0.25">
      <c r="Q31" s="119"/>
    </row>
    <row r="32" spans="1:17" x14ac:dyDescent="0.25">
      <c r="Q32" s="119"/>
    </row>
    <row r="33" spans="17:17" x14ac:dyDescent="0.25">
      <c r="Q33" s="119"/>
    </row>
    <row r="34" spans="17:17" x14ac:dyDescent="0.25">
      <c r="Q34" s="119"/>
    </row>
    <row r="35" spans="17:17" x14ac:dyDescent="0.25">
      <c r="Q35" s="119"/>
    </row>
    <row r="36" spans="17:17" x14ac:dyDescent="0.25">
      <c r="Q36" s="119"/>
    </row>
    <row r="37" spans="17:17" x14ac:dyDescent="0.25">
      <c r="Q37" s="119"/>
    </row>
    <row r="38" spans="17:17" x14ac:dyDescent="0.25">
      <c r="Q38" s="119"/>
    </row>
    <row r="39" spans="17:17" x14ac:dyDescent="0.25">
      <c r="Q39" s="119"/>
    </row>
    <row r="40" spans="17:17" x14ac:dyDescent="0.25">
      <c r="Q40" s="119"/>
    </row>
    <row r="41" spans="17:17" x14ac:dyDescent="0.25">
      <c r="Q41" s="119"/>
    </row>
    <row r="42" spans="17:17" x14ac:dyDescent="0.25">
      <c r="Q42" s="119"/>
    </row>
    <row r="43" spans="17:17" x14ac:dyDescent="0.25">
      <c r="Q43" s="119"/>
    </row>
    <row r="44" spans="17:17" x14ac:dyDescent="0.25">
      <c r="Q44" s="119"/>
    </row>
    <row r="45" spans="17:17" x14ac:dyDescent="0.25">
      <c r="Q45" s="119"/>
    </row>
    <row r="46" spans="17:17" x14ac:dyDescent="0.25">
      <c r="Q46" s="119"/>
    </row>
    <row r="47" spans="17:17" x14ac:dyDescent="0.25">
      <c r="Q47" s="119"/>
    </row>
    <row r="48" spans="17:17" x14ac:dyDescent="0.25">
      <c r="Q48" s="119"/>
    </row>
    <row r="49" spans="17:17" x14ac:dyDescent="0.25">
      <c r="Q49" s="119"/>
    </row>
    <row r="50" spans="17:17" x14ac:dyDescent="0.25">
      <c r="Q50" s="1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90" workbookViewId="0">
      <selection activeCell="D8" sqref="D8"/>
    </sheetView>
  </sheetViews>
  <sheetFormatPr defaultRowHeight="15" x14ac:dyDescent="0.25"/>
  <cols>
    <col min="1" max="1" width="32.7109375" bestFit="1" customWidth="1"/>
    <col min="2" max="2" width="12.7109375" customWidth="1"/>
    <col min="3" max="3" width="14" customWidth="1"/>
    <col min="4" max="4" width="13.85546875" customWidth="1"/>
    <col min="5" max="5" width="14.140625" customWidth="1"/>
    <col min="6" max="6" width="9.140625" customWidth="1"/>
    <col min="7" max="7" width="13.28515625" customWidth="1"/>
    <col min="8" max="8" width="42.5703125" bestFit="1" customWidth="1"/>
    <col min="14" max="14" width="18" customWidth="1"/>
  </cols>
  <sheetData>
    <row r="1" spans="1:8" ht="24.75" x14ac:dyDescent="0.5">
      <c r="A1" s="13" t="s">
        <v>45</v>
      </c>
      <c r="B1" s="7"/>
      <c r="C1" s="7"/>
    </row>
    <row r="2" spans="1:8" ht="15.75" x14ac:dyDescent="0.25">
      <c r="A2" s="61" t="s">
        <v>64</v>
      </c>
      <c r="B2" s="7"/>
      <c r="C2" s="7"/>
    </row>
    <row r="3" spans="1:8" ht="15.75" x14ac:dyDescent="0.25">
      <c r="A3" s="46"/>
      <c r="B3" s="7"/>
      <c r="C3" s="7"/>
    </row>
    <row r="4" spans="1:8" ht="15.75" x14ac:dyDescent="0.25">
      <c r="A4" s="52" t="s">
        <v>3</v>
      </c>
      <c r="B4" s="98" t="s">
        <v>50</v>
      </c>
      <c r="C4" s="71" t="s">
        <v>56</v>
      </c>
      <c r="D4" s="71" t="s">
        <v>78</v>
      </c>
      <c r="E4" s="84" t="s">
        <v>62</v>
      </c>
      <c r="F4" s="142" t="s">
        <v>53</v>
      </c>
      <c r="G4" s="143"/>
      <c r="H4" s="34" t="s">
        <v>51</v>
      </c>
    </row>
    <row r="5" spans="1:8" x14ac:dyDescent="0.25">
      <c r="A5" s="53" t="s">
        <v>5</v>
      </c>
      <c r="B5" s="14"/>
      <c r="C5" s="10"/>
      <c r="D5" s="9"/>
      <c r="E5" s="17"/>
      <c r="F5" s="74">
        <f>SUM(F6:F11)</f>
        <v>99913.964999860007</v>
      </c>
      <c r="G5" s="116" t="s">
        <v>8</v>
      </c>
    </row>
    <row r="6" spans="1:8" x14ac:dyDescent="0.25">
      <c r="A6" s="54" t="s">
        <v>17</v>
      </c>
      <c r="B6" s="14"/>
      <c r="C6" s="10"/>
      <c r="D6" s="63">
        <f>Beräkningsunderlag!G6/Beräkningsunderlag!G14*Beräkningsunderlag!B6</f>
        <v>23685.211225000003</v>
      </c>
      <c r="E6" s="17"/>
      <c r="F6" s="67">
        <f>D6</f>
        <v>23685.211225000003</v>
      </c>
      <c r="G6" s="106" t="s">
        <v>8</v>
      </c>
    </row>
    <row r="7" spans="1:8" x14ac:dyDescent="0.25">
      <c r="A7" s="54" t="s">
        <v>20</v>
      </c>
      <c r="B7" s="14"/>
      <c r="C7" s="10"/>
      <c r="D7" s="63">
        <f>((Beräkningsunderlag!G4-Beräkningsunderlag!G5)/2+Beräkningsunderlag!G5)*Beräkningsunderlag!G13</f>
        <v>17647.015184000004</v>
      </c>
      <c r="E7" s="17"/>
      <c r="F7" s="67">
        <f>D7</f>
        <v>17647.015184000004</v>
      </c>
      <c r="G7" s="106" t="s">
        <v>8</v>
      </c>
    </row>
    <row r="8" spans="1:8" x14ac:dyDescent="0.25">
      <c r="A8" s="54" t="s">
        <v>21</v>
      </c>
      <c r="B8" s="14"/>
      <c r="C8" s="63">
        <f>9860*Beräkningsunderlag!B13</f>
        <v>6054.7385908599999</v>
      </c>
      <c r="D8" s="38"/>
      <c r="E8" s="17"/>
      <c r="F8" s="67">
        <f>C8</f>
        <v>6054.7385908599999</v>
      </c>
      <c r="G8" s="106" t="s">
        <v>8</v>
      </c>
      <c r="H8" t="s">
        <v>75</v>
      </c>
    </row>
    <row r="9" spans="1:8" x14ac:dyDescent="0.25">
      <c r="A9" s="54" t="s">
        <v>23</v>
      </c>
      <c r="B9" s="14"/>
      <c r="C9" s="7"/>
      <c r="D9" s="64">
        <f>Beräkningsunderlag!B16</f>
        <v>10591</v>
      </c>
      <c r="E9" s="17"/>
      <c r="F9" s="68">
        <f>D9</f>
        <v>10591</v>
      </c>
      <c r="G9" s="106" t="s">
        <v>8</v>
      </c>
      <c r="H9" t="s">
        <v>60</v>
      </c>
    </row>
    <row r="10" spans="1:8" x14ac:dyDescent="0.25">
      <c r="A10" s="54" t="s">
        <v>22</v>
      </c>
      <c r="B10" s="14"/>
      <c r="C10" s="64">
        <v>21936</v>
      </c>
      <c r="D10" s="10"/>
      <c r="E10" s="17"/>
      <c r="F10" s="18">
        <f>C10</f>
        <v>21936</v>
      </c>
      <c r="G10" s="106" t="s">
        <v>8</v>
      </c>
      <c r="H10" t="s">
        <v>57</v>
      </c>
    </row>
    <row r="11" spans="1:8" x14ac:dyDescent="0.25">
      <c r="A11" s="54" t="s">
        <v>24</v>
      </c>
      <c r="B11" s="14"/>
      <c r="C11" s="10"/>
      <c r="D11" s="10"/>
      <c r="E11" s="77">
        <v>20000</v>
      </c>
      <c r="F11" s="18">
        <f>E11</f>
        <v>20000</v>
      </c>
      <c r="G11" s="106" t="s">
        <v>8</v>
      </c>
    </row>
    <row r="12" spans="1:8" x14ac:dyDescent="0.25">
      <c r="A12" s="43"/>
      <c r="B12" s="14"/>
      <c r="C12" s="10"/>
      <c r="D12" s="10"/>
      <c r="E12" s="17"/>
      <c r="F12" s="18"/>
      <c r="G12" s="106"/>
    </row>
    <row r="13" spans="1:8" x14ac:dyDescent="0.25">
      <c r="A13" s="53" t="s">
        <v>6</v>
      </c>
      <c r="B13" s="14"/>
      <c r="C13" s="10"/>
      <c r="D13" s="11"/>
      <c r="E13" s="17"/>
      <c r="F13" s="75">
        <f>SUM(F14:F18)</f>
        <v>43.712988756599998</v>
      </c>
      <c r="G13" s="116" t="s">
        <v>13</v>
      </c>
    </row>
    <row r="14" spans="1:8" x14ac:dyDescent="0.25">
      <c r="A14" s="54" t="s">
        <v>18</v>
      </c>
      <c r="B14" s="14"/>
      <c r="C14" s="10"/>
      <c r="D14" s="65">
        <f>Beräkningsunderlag!G6/Beräkningsunderlag!G14*Beräkningsunderlag!B7/Beräkningsunderlag!B3</f>
        <v>5.4658179750000002</v>
      </c>
      <c r="E14" s="17"/>
      <c r="F14" s="69">
        <f>D14</f>
        <v>5.4658179750000002</v>
      </c>
      <c r="G14" s="106" t="s">
        <v>13</v>
      </c>
    </row>
    <row r="15" spans="1:8" x14ac:dyDescent="0.25">
      <c r="A15" s="54" t="s">
        <v>14</v>
      </c>
      <c r="B15" s="14"/>
      <c r="C15" s="10"/>
      <c r="D15" s="64">
        <f>Beräkningsunderlag!G8</f>
        <v>2.0099999999999998</v>
      </c>
      <c r="E15" s="17"/>
      <c r="F15" s="69">
        <f>D15</f>
        <v>2.0099999999999998</v>
      </c>
      <c r="G15" s="106" t="s">
        <v>13</v>
      </c>
    </row>
    <row r="16" spans="1:8" x14ac:dyDescent="0.25">
      <c r="A16" s="54" t="s">
        <v>15</v>
      </c>
      <c r="B16" s="14"/>
      <c r="C16" s="10"/>
      <c r="D16" s="65">
        <f>Beräkningsunderlag!G9</f>
        <v>3.7050000000000001</v>
      </c>
      <c r="E16" s="17"/>
      <c r="F16" s="69">
        <f>D16</f>
        <v>3.7050000000000001</v>
      </c>
      <c r="G16" s="106" t="s">
        <v>13</v>
      </c>
    </row>
    <row r="17" spans="1:8" x14ac:dyDescent="0.25">
      <c r="A17" s="54" t="s">
        <v>16</v>
      </c>
      <c r="B17" s="14"/>
      <c r="C17" s="65">
        <f>1.05*Beräkningsunderlag!B10*Beräkningsunderlag!G10</f>
        <v>32.532170781600001</v>
      </c>
      <c r="D17" s="58">
        <f>Beräkningsunderlag!G10*Beräkningsunderlag!G11</f>
        <v>29.716129243798797</v>
      </c>
      <c r="E17" s="17"/>
      <c r="F17" s="69">
        <f>C17</f>
        <v>32.532170781600001</v>
      </c>
      <c r="G17" s="106" t="s">
        <v>13</v>
      </c>
      <c r="H17" t="s">
        <v>72</v>
      </c>
    </row>
    <row r="18" spans="1:8" x14ac:dyDescent="0.25">
      <c r="A18" s="54" t="s">
        <v>34</v>
      </c>
      <c r="B18" s="14"/>
      <c r="C18" s="10"/>
      <c r="D18" s="10"/>
      <c r="E18" s="17"/>
      <c r="F18" s="18">
        <v>0</v>
      </c>
      <c r="G18" s="106" t="s">
        <v>13</v>
      </c>
    </row>
    <row r="19" spans="1:8" x14ac:dyDescent="0.25">
      <c r="A19" s="43"/>
      <c r="B19" s="14"/>
      <c r="C19" s="10"/>
      <c r="D19" s="10"/>
      <c r="E19" s="17"/>
      <c r="F19" s="18"/>
      <c r="G19" s="106"/>
    </row>
    <row r="20" spans="1:8" ht="15.75" x14ac:dyDescent="0.25">
      <c r="A20" s="55" t="s">
        <v>4</v>
      </c>
      <c r="B20" s="14"/>
      <c r="C20" s="10"/>
      <c r="D20" s="9"/>
      <c r="E20" s="17"/>
      <c r="F20" s="74">
        <f>SUM(F21:F22)</f>
        <v>244240.60304479679</v>
      </c>
      <c r="G20" s="116" t="s">
        <v>8</v>
      </c>
    </row>
    <row r="21" spans="1:8" x14ac:dyDescent="0.25">
      <c r="A21" s="54" t="s">
        <v>1</v>
      </c>
      <c r="B21" s="105">
        <f>177710/1.33*1.5</f>
        <v>200424.81203007518</v>
      </c>
      <c r="C21" s="63">
        <f>11952*Beräkningsunderlag!B10*1.5</f>
        <v>163371.64083264</v>
      </c>
      <c r="D21" s="10"/>
      <c r="E21" s="17"/>
      <c r="F21" s="67">
        <f>C21</f>
        <v>163371.64083264</v>
      </c>
      <c r="G21" s="106" t="s">
        <v>8</v>
      </c>
      <c r="H21" t="s">
        <v>61</v>
      </c>
    </row>
    <row r="22" spans="1:8" x14ac:dyDescent="0.25">
      <c r="A22" s="56" t="s">
        <v>2</v>
      </c>
      <c r="B22" s="109">
        <f>177710*1.5-B21</f>
        <v>66140.187969924824</v>
      </c>
      <c r="C22" s="66">
        <f>C21*0.33*1.5</f>
        <v>80868.96221215681</v>
      </c>
      <c r="D22" s="60"/>
      <c r="E22" s="118"/>
      <c r="F22" s="70">
        <f>C22</f>
        <v>80868.96221215681</v>
      </c>
      <c r="G22" s="117" t="s">
        <v>8</v>
      </c>
      <c r="H22" t="s">
        <v>61</v>
      </c>
    </row>
    <row r="23" spans="1:8" x14ac:dyDescent="0.25">
      <c r="A23" s="125" t="s">
        <v>77</v>
      </c>
      <c r="B23" s="64"/>
      <c r="C23" s="133"/>
      <c r="D23" s="134"/>
      <c r="E23" s="134"/>
      <c r="F23" s="134"/>
      <c r="G23" s="134"/>
    </row>
    <row r="24" spans="1:8" x14ac:dyDescent="0.25">
      <c r="A24" s="7"/>
      <c r="B24" s="7"/>
      <c r="C24" s="7"/>
    </row>
    <row r="25" spans="1:8" ht="15.75" x14ac:dyDescent="0.25">
      <c r="A25" s="97" t="s">
        <v>54</v>
      </c>
      <c r="B25" s="113"/>
      <c r="C25" s="99"/>
    </row>
    <row r="26" spans="1:8" x14ac:dyDescent="0.25">
      <c r="A26" s="73" t="s">
        <v>3</v>
      </c>
      <c r="B26" s="111">
        <f>SUM(B27:B28)</f>
        <v>668182.81883566</v>
      </c>
      <c r="C26" s="99" t="s">
        <v>8</v>
      </c>
    </row>
    <row r="27" spans="1:8" x14ac:dyDescent="0.25">
      <c r="A27" s="14" t="s">
        <v>37</v>
      </c>
      <c r="B27" s="12">
        <f>F5</f>
        <v>99913.964999860007</v>
      </c>
      <c r="C27" s="78" t="s">
        <v>8</v>
      </c>
    </row>
    <row r="28" spans="1:8" x14ac:dyDescent="0.25">
      <c r="A28" s="14" t="s">
        <v>38</v>
      </c>
      <c r="B28" s="12">
        <f>F13*Beräkningsunderlag!B3</f>
        <v>568268.85383579996</v>
      </c>
      <c r="C28" s="78" t="s">
        <v>8</v>
      </c>
    </row>
    <row r="29" spans="1:8" x14ac:dyDescent="0.25">
      <c r="A29" s="115" t="s">
        <v>4</v>
      </c>
      <c r="B29" s="114">
        <f>F20</f>
        <v>244240.60304479679</v>
      </c>
      <c r="C29" s="79" t="s">
        <v>8</v>
      </c>
    </row>
    <row r="30" spans="1:8" ht="15.75" x14ac:dyDescent="0.25">
      <c r="A30" s="19" t="s">
        <v>36</v>
      </c>
      <c r="B30" s="20">
        <f>B26+B29</f>
        <v>912423.42188045685</v>
      </c>
      <c r="C30" s="21" t="s">
        <v>8</v>
      </c>
    </row>
  </sheetData>
  <mergeCells count="1"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0" zoomScaleNormal="90" workbookViewId="0">
      <selection activeCell="B20" sqref="B20"/>
    </sheetView>
  </sheetViews>
  <sheetFormatPr defaultRowHeight="15" x14ac:dyDescent="0.25"/>
  <cols>
    <col min="1" max="1" width="32.7109375" bestFit="1" customWidth="1"/>
    <col min="2" max="2" width="13.28515625" customWidth="1"/>
    <col min="3" max="3" width="13.85546875" customWidth="1"/>
    <col min="4" max="4" width="14.5703125" customWidth="1"/>
    <col min="5" max="5" width="14" customWidth="1"/>
    <col min="6" max="6" width="10.7109375" customWidth="1"/>
    <col min="7" max="7" width="10.5703125" customWidth="1"/>
    <col min="8" max="8" width="27.5703125" customWidth="1"/>
  </cols>
  <sheetData>
    <row r="1" spans="1:8" ht="24.75" x14ac:dyDescent="0.5">
      <c r="A1" s="13" t="s">
        <v>45</v>
      </c>
      <c r="B1" s="7"/>
      <c r="C1" s="7"/>
    </row>
    <row r="2" spans="1:8" ht="15.75" x14ac:dyDescent="0.25">
      <c r="A2" s="61" t="s">
        <v>64</v>
      </c>
      <c r="B2" s="7"/>
      <c r="C2" s="7"/>
    </row>
    <row r="3" spans="1:8" ht="15.75" x14ac:dyDescent="0.25">
      <c r="A3" s="46"/>
      <c r="B3" s="7"/>
      <c r="C3" s="7"/>
    </row>
    <row r="4" spans="1:8" ht="15.75" x14ac:dyDescent="0.25">
      <c r="A4" s="52" t="s">
        <v>3</v>
      </c>
      <c r="B4" s="71" t="s">
        <v>55</v>
      </c>
      <c r="C4" s="71" t="s">
        <v>50</v>
      </c>
      <c r="D4" s="71" t="s">
        <v>56</v>
      </c>
      <c r="E4" s="71" t="s">
        <v>78</v>
      </c>
      <c r="F4" s="144" t="s">
        <v>53</v>
      </c>
      <c r="G4" s="145"/>
      <c r="H4" s="34" t="s">
        <v>51</v>
      </c>
    </row>
    <row r="5" spans="1:8" x14ac:dyDescent="0.25">
      <c r="A5" s="53" t="s">
        <v>5</v>
      </c>
      <c r="B5" s="9"/>
      <c r="C5" s="7"/>
      <c r="D5" s="7"/>
      <c r="E5" s="7"/>
      <c r="F5" s="74">
        <f>SUM(F6:F11)</f>
        <v>124402.86137884652</v>
      </c>
      <c r="G5" s="116" t="s">
        <v>8</v>
      </c>
    </row>
    <row r="6" spans="1:8" x14ac:dyDescent="0.25">
      <c r="A6" s="54" t="s">
        <v>17</v>
      </c>
      <c r="B6" s="127">
        <f>1659.24308588064*Beräkningsunderlag!B10</f>
        <v>15120.106285170301</v>
      </c>
      <c r="C6" s="10"/>
      <c r="D6" s="10"/>
      <c r="E6" s="63">
        <f>Beräkningsunderlag!H6*Beräkningsunderlag!B6/Beräkningsunderlag!H14</f>
        <v>23685.211225000003</v>
      </c>
      <c r="F6" s="67">
        <f>E6</f>
        <v>23685.211225000003</v>
      </c>
      <c r="G6" s="106" t="s">
        <v>8</v>
      </c>
    </row>
    <row r="7" spans="1:8" x14ac:dyDescent="0.25">
      <c r="A7" s="54" t="s">
        <v>20</v>
      </c>
      <c r="B7" s="127">
        <f>13.7918486171761*Beräkningsunderlag!B10</f>
        <v>125.68032902183381</v>
      </c>
      <c r="C7" s="10"/>
      <c r="D7" s="10"/>
      <c r="E7" s="63">
        <f>((Beräkningsunderlag!H4-Beräkningsunderlag!H5)/2+Beräkningsunderlag!H5)*Beräkningsunderlag!H13</f>
        <v>17647.015184000004</v>
      </c>
      <c r="F7" s="67">
        <f>E7</f>
        <v>17647.015184000004</v>
      </c>
      <c r="G7" s="106" t="s">
        <v>8</v>
      </c>
    </row>
    <row r="8" spans="1:8" x14ac:dyDescent="0.25">
      <c r="A8" s="54" t="s">
        <v>21</v>
      </c>
      <c r="B8" s="127">
        <f>981.441048034935*Beräkningsunderlag!B10</f>
        <v>8943.5315929257686</v>
      </c>
      <c r="C8" s="10"/>
      <c r="D8" s="63">
        <f>22932*Beräkningsunderlag!B11</f>
        <v>7594.01481384</v>
      </c>
      <c r="E8" s="10"/>
      <c r="F8" s="67">
        <f>D8</f>
        <v>7594.01481384</v>
      </c>
      <c r="G8" s="106" t="s">
        <v>8</v>
      </c>
      <c r="H8" t="s">
        <v>73</v>
      </c>
    </row>
    <row r="9" spans="1:8" x14ac:dyDescent="0.25">
      <c r="A9" s="54" t="s">
        <v>23</v>
      </c>
      <c r="B9" s="35"/>
      <c r="C9" s="10"/>
      <c r="D9" s="10"/>
      <c r="E9" s="72">
        <f>Beräkningsunderlag!B16</f>
        <v>10591</v>
      </c>
      <c r="F9" s="18">
        <f>E9</f>
        <v>10591</v>
      </c>
      <c r="G9" s="106" t="s">
        <v>8</v>
      </c>
      <c r="H9" t="s">
        <v>60</v>
      </c>
    </row>
    <row r="10" spans="1:8" x14ac:dyDescent="0.25">
      <c r="A10" s="54" t="s">
        <v>22</v>
      </c>
      <c r="B10" s="63">
        <f>1507.62372634643*Beräkningsunderlag!B10</f>
        <v>13738.451691847127</v>
      </c>
      <c r="C10" s="12"/>
      <c r="D10" s="10"/>
      <c r="E10" s="10"/>
      <c r="F10" s="67">
        <f>B10</f>
        <v>13738.451691847127</v>
      </c>
      <c r="G10" s="106" t="s">
        <v>8</v>
      </c>
    </row>
    <row r="11" spans="1:8" x14ac:dyDescent="0.25">
      <c r="A11" s="54" t="s">
        <v>24</v>
      </c>
      <c r="B11" s="63">
        <f>5612.76382823872*Beräkningsunderlag!B10</f>
        <v>51147.168464159397</v>
      </c>
      <c r="C11" s="12"/>
      <c r="D11" s="10"/>
      <c r="E11" s="10"/>
      <c r="F11" s="67">
        <f>B11</f>
        <v>51147.168464159397</v>
      </c>
      <c r="G11" s="106" t="s">
        <v>8</v>
      </c>
      <c r="H11" t="s">
        <v>74</v>
      </c>
    </row>
    <row r="12" spans="1:8" x14ac:dyDescent="0.25">
      <c r="A12" s="43"/>
      <c r="B12" s="10"/>
      <c r="C12" s="10"/>
      <c r="D12" s="10"/>
      <c r="E12" s="10"/>
      <c r="F12" s="18"/>
      <c r="G12" s="106"/>
    </row>
    <row r="13" spans="1:8" x14ac:dyDescent="0.25">
      <c r="A13" s="53" t="s">
        <v>6</v>
      </c>
      <c r="B13" s="11"/>
      <c r="C13" s="10"/>
      <c r="D13" s="10"/>
      <c r="E13" s="10"/>
      <c r="F13" s="75">
        <f>SUM(F14:F18)</f>
        <v>45.478780791440187</v>
      </c>
      <c r="G13" s="116" t="s">
        <v>13</v>
      </c>
    </row>
    <row r="14" spans="1:8" x14ac:dyDescent="0.25">
      <c r="A14" s="54" t="s">
        <v>18</v>
      </c>
      <c r="B14" s="10"/>
      <c r="C14" s="10"/>
      <c r="D14" s="10"/>
      <c r="E14" s="65">
        <f>Beräkningsunderlag!H6/Beräkningsunderlag!H14*Beräkningsunderlag!B7/Beräkningsunderlag!B3</f>
        <v>5.4658179750000002</v>
      </c>
      <c r="F14" s="69">
        <f>E14</f>
        <v>5.4658179750000002</v>
      </c>
      <c r="G14" s="106" t="s">
        <v>13</v>
      </c>
    </row>
    <row r="15" spans="1:8" x14ac:dyDescent="0.25">
      <c r="A15" s="54" t="s">
        <v>14</v>
      </c>
      <c r="B15" s="58">
        <f>0.33296943231441*Beräkningsunderlag!B10</f>
        <v>3.0342348563318735</v>
      </c>
      <c r="C15" s="10"/>
      <c r="D15" s="65">
        <f>Beräkningsunderlag!H8</f>
        <v>2.0099999999999998</v>
      </c>
      <c r="E15" s="37"/>
      <c r="F15" s="69">
        <f>D15</f>
        <v>2.0099999999999998</v>
      </c>
      <c r="G15" s="106" t="s">
        <v>13</v>
      </c>
    </row>
    <row r="16" spans="1:8" x14ac:dyDescent="0.25">
      <c r="A16" s="54" t="s">
        <v>15</v>
      </c>
      <c r="B16" s="65">
        <f>0.343886462882096*Beräkningsunderlag!B10</f>
        <v>3.1337179663755457</v>
      </c>
      <c r="C16" s="10"/>
      <c r="D16" s="10"/>
      <c r="E16" s="37">
        <f>Beräkningsunderlag!H9</f>
        <v>3.7050000000000001</v>
      </c>
      <c r="F16" s="69">
        <f>B16</f>
        <v>3.1337179663755457</v>
      </c>
      <c r="G16" s="106" t="s">
        <v>13</v>
      </c>
    </row>
    <row r="17" spans="1:8" x14ac:dyDescent="0.25">
      <c r="A17" s="54" t="s">
        <v>16</v>
      </c>
      <c r="B17" s="58">
        <f>3.9028384279476*Beräkningsunderlag!B10</f>
        <v>35.565211840611376</v>
      </c>
      <c r="C17" s="10"/>
      <c r="D17" s="10"/>
      <c r="E17" s="65">
        <f>Beräkningsunderlag!H10*Beräkningsunderlag!H11</f>
        <v>30.574451547720642</v>
      </c>
      <c r="F17" s="69">
        <f>E17</f>
        <v>30.574451547720642</v>
      </c>
      <c r="G17" s="106" t="s">
        <v>13</v>
      </c>
    </row>
    <row r="18" spans="1:8" x14ac:dyDescent="0.25">
      <c r="A18" s="54" t="s">
        <v>34</v>
      </c>
      <c r="B18" s="65">
        <f>0.4713*Beräkningsunderlag!B10</f>
        <v>4.2947933023439999</v>
      </c>
      <c r="C18" s="10"/>
      <c r="D18" s="10"/>
      <c r="E18" s="10"/>
      <c r="F18" s="69">
        <f>B18</f>
        <v>4.2947933023439999</v>
      </c>
      <c r="G18" s="106" t="s">
        <v>13</v>
      </c>
    </row>
    <row r="19" spans="1:8" x14ac:dyDescent="0.25">
      <c r="A19" s="43"/>
      <c r="B19" s="10"/>
      <c r="C19" s="10"/>
      <c r="D19" s="10"/>
      <c r="E19" s="10"/>
      <c r="F19" s="18"/>
      <c r="G19" s="106"/>
    </row>
    <row r="20" spans="1:8" ht="15.75" x14ac:dyDescent="0.25">
      <c r="A20" s="55" t="s">
        <v>4</v>
      </c>
      <c r="B20" s="9"/>
      <c r="C20" s="10"/>
      <c r="D20" s="10"/>
      <c r="E20" s="10"/>
      <c r="F20" s="74">
        <f>SUM(F21:F22)</f>
        <v>216706.29973612202</v>
      </c>
      <c r="G20" s="116" t="s">
        <v>8</v>
      </c>
    </row>
    <row r="21" spans="1:8" x14ac:dyDescent="0.25">
      <c r="A21" s="54" t="s">
        <v>1</v>
      </c>
      <c r="B21" s="36">
        <f>8107.43231441048*Beräkningsunderlag!B10*1.5</f>
        <v>110820.32464397661</v>
      </c>
      <c r="C21" s="36">
        <f>190516*1.5/1.26</f>
        <v>226804.76190476189</v>
      </c>
      <c r="D21" s="63">
        <f>313860*Beräkningsunderlag!B11*1.5</f>
        <v>155903.8127598</v>
      </c>
      <c r="E21" s="10"/>
      <c r="F21" s="67">
        <f>D21</f>
        <v>155903.8127598</v>
      </c>
      <c r="G21" s="106" t="s">
        <v>8</v>
      </c>
      <c r="H21" t="s">
        <v>61</v>
      </c>
    </row>
    <row r="22" spans="1:8" x14ac:dyDescent="0.25">
      <c r="A22" s="56" t="s">
        <v>2</v>
      </c>
      <c r="B22" s="62">
        <f>981.441048034935*Beräkningsunderlag!B10*1.5</f>
        <v>13415.297389388652</v>
      </c>
      <c r="C22" s="62">
        <f>190516*1.5-C21</f>
        <v>58969.238095238106</v>
      </c>
      <c r="D22" s="66">
        <f>D21*0.26*1.5</f>
        <v>60802.486976322005</v>
      </c>
      <c r="E22" s="60"/>
      <c r="F22" s="70">
        <f>D22</f>
        <v>60802.486976322005</v>
      </c>
      <c r="G22" s="117" t="s">
        <v>8</v>
      </c>
      <c r="H22" t="s">
        <v>61</v>
      </c>
    </row>
    <row r="23" spans="1:8" x14ac:dyDescent="0.25">
      <c r="A23" s="125" t="s">
        <v>77</v>
      </c>
      <c r="B23" s="64"/>
      <c r="C23" s="133"/>
      <c r="D23" s="134"/>
      <c r="E23" s="134"/>
      <c r="F23" s="134"/>
      <c r="G23" s="134"/>
    </row>
    <row r="24" spans="1:8" x14ac:dyDescent="0.25">
      <c r="A24" s="7"/>
      <c r="B24" s="7"/>
      <c r="C24" s="7"/>
    </row>
    <row r="25" spans="1:8" ht="15.75" x14ac:dyDescent="0.25">
      <c r="A25" s="97" t="s">
        <v>54</v>
      </c>
      <c r="B25" s="113"/>
      <c r="C25" s="99"/>
    </row>
    <row r="26" spans="1:8" x14ac:dyDescent="0.25">
      <c r="A26" s="73" t="s">
        <v>3</v>
      </c>
      <c r="B26" s="111">
        <f>SUM(B27:B28)</f>
        <v>715627.01166756894</v>
      </c>
      <c r="C26" s="99" t="s">
        <v>8</v>
      </c>
    </row>
    <row r="27" spans="1:8" x14ac:dyDescent="0.25">
      <c r="A27" s="14" t="s">
        <v>37</v>
      </c>
      <c r="B27" s="12">
        <f>F5</f>
        <v>124402.86137884652</v>
      </c>
      <c r="C27" s="78" t="s">
        <v>8</v>
      </c>
    </row>
    <row r="28" spans="1:8" x14ac:dyDescent="0.25">
      <c r="A28" s="14" t="s">
        <v>38</v>
      </c>
      <c r="B28" s="12">
        <f>F13*Beräkningsunderlag!B3</f>
        <v>591224.15028872248</v>
      </c>
      <c r="C28" s="78" t="s">
        <v>8</v>
      </c>
    </row>
    <row r="29" spans="1:8" x14ac:dyDescent="0.25">
      <c r="A29" s="115" t="s">
        <v>4</v>
      </c>
      <c r="B29" s="114">
        <f>F20</f>
        <v>216706.29973612202</v>
      </c>
      <c r="C29" s="79" t="s">
        <v>8</v>
      </c>
    </row>
    <row r="30" spans="1:8" ht="15.75" x14ac:dyDescent="0.25">
      <c r="A30" s="19" t="s">
        <v>36</v>
      </c>
      <c r="B30" s="20">
        <f>B26+B29</f>
        <v>932333.31140369095</v>
      </c>
      <c r="C30" s="21" t="s">
        <v>8</v>
      </c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="80" zoomScaleNormal="80" workbookViewId="0">
      <selection activeCell="G21" sqref="G21"/>
    </sheetView>
  </sheetViews>
  <sheetFormatPr defaultRowHeight="15" x14ac:dyDescent="0.25"/>
  <cols>
    <col min="1" max="1" width="36" bestFit="1" customWidth="1"/>
    <col min="2" max="2" width="11.7109375" customWidth="1"/>
    <col min="3" max="3" width="10" bestFit="1" customWidth="1"/>
    <col min="5" max="5" width="10.140625" customWidth="1"/>
  </cols>
  <sheetData>
    <row r="1" spans="1:6" ht="24.75" x14ac:dyDescent="0.5">
      <c r="A1" s="13" t="s">
        <v>45</v>
      </c>
      <c r="B1" s="7"/>
      <c r="C1" s="7"/>
    </row>
    <row r="2" spans="1:6" ht="15.75" x14ac:dyDescent="0.25">
      <c r="A2" s="46"/>
      <c r="B2" s="7"/>
      <c r="C2" s="7"/>
    </row>
    <row r="3" spans="1:6" ht="15.75" x14ac:dyDescent="0.25">
      <c r="A3" s="46"/>
      <c r="B3" s="100" t="s">
        <v>26</v>
      </c>
      <c r="C3" s="101" t="s">
        <v>42</v>
      </c>
      <c r="D3" s="102" t="s">
        <v>43</v>
      </c>
      <c r="E3" s="101" t="s">
        <v>44</v>
      </c>
      <c r="F3" s="104"/>
    </row>
    <row r="4" spans="1:6" ht="15.75" x14ac:dyDescent="0.25">
      <c r="A4" s="52" t="s">
        <v>3</v>
      </c>
      <c r="F4" s="88"/>
    </row>
    <row r="5" spans="1:6" x14ac:dyDescent="0.25">
      <c r="A5" s="53" t="s">
        <v>5</v>
      </c>
      <c r="B5" s="50">
        <f>Sverige!D5</f>
        <v>141267.25</v>
      </c>
      <c r="C5" s="30">
        <f>Polen!F5</f>
        <v>118556.501005</v>
      </c>
      <c r="D5" s="9">
        <f>Estland!F5</f>
        <v>99913.964999860007</v>
      </c>
      <c r="E5" s="9">
        <f>Tjeckien!F5</f>
        <v>124402.86137884652</v>
      </c>
      <c r="F5" s="88" t="s">
        <v>8</v>
      </c>
    </row>
    <row r="6" spans="1:6" x14ac:dyDescent="0.25">
      <c r="A6" s="54" t="s">
        <v>17</v>
      </c>
      <c r="B6" s="80">
        <f>Sverige!D6</f>
        <v>30631.25</v>
      </c>
      <c r="C6" s="36">
        <f>Polen!F6</f>
        <v>23685.210150000003</v>
      </c>
      <c r="D6" s="12">
        <f>Estland!F6</f>
        <v>23685.211225000003</v>
      </c>
      <c r="E6" s="12">
        <f>Tjeckien!F6</f>
        <v>23685.211225000003</v>
      </c>
      <c r="F6" s="89" t="s">
        <v>8</v>
      </c>
    </row>
    <row r="7" spans="1:6" x14ac:dyDescent="0.25">
      <c r="A7" s="54" t="s">
        <v>20</v>
      </c>
      <c r="B7" s="80">
        <f>Sverige!D7</f>
        <v>22804</v>
      </c>
      <c r="C7" s="36">
        <f>Polen!F7</f>
        <v>24427.290855000003</v>
      </c>
      <c r="D7" s="12">
        <f>Estland!F7</f>
        <v>17647.015184000004</v>
      </c>
      <c r="E7" s="12">
        <f>Tjeckien!F7</f>
        <v>17647.015184000004</v>
      </c>
      <c r="F7" s="89" t="s">
        <v>8</v>
      </c>
    </row>
    <row r="8" spans="1:6" x14ac:dyDescent="0.25">
      <c r="A8" s="54" t="s">
        <v>21</v>
      </c>
      <c r="B8" s="80">
        <f>Sverige!D8</f>
        <v>9991</v>
      </c>
      <c r="C8" s="36">
        <f>Polen!F8</f>
        <v>6676</v>
      </c>
      <c r="D8" s="12">
        <f>Estland!F8</f>
        <v>6054.7385908599999</v>
      </c>
      <c r="E8" s="12">
        <f>Tjeckien!F8</f>
        <v>7594.01481384</v>
      </c>
      <c r="F8" s="89" t="s">
        <v>8</v>
      </c>
    </row>
    <row r="9" spans="1:6" x14ac:dyDescent="0.25">
      <c r="A9" s="54" t="s">
        <v>23</v>
      </c>
      <c r="B9" s="80">
        <f>Sverige!D9</f>
        <v>10591</v>
      </c>
      <c r="C9" s="36">
        <f>Polen!F9</f>
        <v>10591</v>
      </c>
      <c r="D9" s="12">
        <f>Estland!F9</f>
        <v>10591</v>
      </c>
      <c r="E9" s="12">
        <f>Tjeckien!F9</f>
        <v>10591</v>
      </c>
      <c r="F9" s="89" t="s">
        <v>8</v>
      </c>
    </row>
    <row r="10" spans="1:6" x14ac:dyDescent="0.25">
      <c r="A10" s="54" t="s">
        <v>22</v>
      </c>
      <c r="B10" s="80">
        <f>Sverige!D10</f>
        <v>30000</v>
      </c>
      <c r="C10" s="36">
        <f>Polen!F10</f>
        <v>35451</v>
      </c>
      <c r="D10" s="12">
        <f>Estland!F10</f>
        <v>21936</v>
      </c>
      <c r="E10" s="12">
        <f>Tjeckien!F10</f>
        <v>13738.451691847127</v>
      </c>
      <c r="F10" s="89" t="s">
        <v>8</v>
      </c>
    </row>
    <row r="11" spans="1:6" x14ac:dyDescent="0.25">
      <c r="A11" s="54" t="s">
        <v>24</v>
      </c>
      <c r="B11" s="80">
        <f>Sverige!D11</f>
        <v>37250</v>
      </c>
      <c r="C11" s="36">
        <f>Polen!F11</f>
        <v>17726</v>
      </c>
      <c r="D11" s="12">
        <f>Estland!F11</f>
        <v>20000</v>
      </c>
      <c r="E11" s="12">
        <f>Tjeckien!F11</f>
        <v>51147.168464159397</v>
      </c>
      <c r="F11" s="89" t="s">
        <v>8</v>
      </c>
    </row>
    <row r="12" spans="1:6" x14ac:dyDescent="0.25">
      <c r="A12" s="43"/>
      <c r="B12" s="81"/>
      <c r="C12" s="38"/>
      <c r="D12" s="38"/>
      <c r="E12" s="10"/>
      <c r="F12" s="89"/>
    </row>
    <row r="13" spans="1:6" x14ac:dyDescent="0.25">
      <c r="A13" s="53" t="s">
        <v>6</v>
      </c>
      <c r="B13" s="51">
        <f>Sverige!D13</f>
        <v>51.724590000000006</v>
      </c>
      <c r="C13" s="31">
        <f>Polen!F13</f>
        <v>41.266013135046997</v>
      </c>
      <c r="D13" s="11">
        <f>Estland!F13</f>
        <v>43.712988756599998</v>
      </c>
      <c r="E13" s="11">
        <f>Tjeckien!F13</f>
        <v>45.478780791440187</v>
      </c>
      <c r="F13" s="88" t="s">
        <v>13</v>
      </c>
    </row>
    <row r="14" spans="1:6" x14ac:dyDescent="0.25">
      <c r="A14" s="54" t="s">
        <v>18</v>
      </c>
      <c r="B14" s="82">
        <f>Sverige!D14</f>
        <v>7.0687499999999996</v>
      </c>
      <c r="C14" s="58">
        <f>Polen!F14</f>
        <v>5.4658177269230777</v>
      </c>
      <c r="D14" s="37">
        <f>Estland!F14</f>
        <v>5.4658179750000002</v>
      </c>
      <c r="E14" s="37">
        <f>Tjeckien!F14</f>
        <v>5.4658179750000002</v>
      </c>
      <c r="F14" s="89" t="s">
        <v>13</v>
      </c>
    </row>
    <row r="15" spans="1:6" x14ac:dyDescent="0.25">
      <c r="A15" s="54" t="s">
        <v>14</v>
      </c>
      <c r="B15" s="82">
        <f>Sverige!D15</f>
        <v>2.89</v>
      </c>
      <c r="C15" s="58">
        <f>Polen!F15</f>
        <v>1.8982356922338464</v>
      </c>
      <c r="D15" s="37">
        <f>Estland!F15</f>
        <v>2.0099999999999998</v>
      </c>
      <c r="E15" s="37">
        <f>Tjeckien!F15</f>
        <v>2.0099999999999998</v>
      </c>
      <c r="F15" s="89" t="s">
        <v>13</v>
      </c>
    </row>
    <row r="16" spans="1:6" x14ac:dyDescent="0.25">
      <c r="A16" s="54" t="s">
        <v>15</v>
      </c>
      <c r="B16" s="82">
        <f>Sverige!D16</f>
        <v>5.7</v>
      </c>
      <c r="C16" s="58">
        <f>Polen!F16</f>
        <v>2.0503468980000004</v>
      </c>
      <c r="D16" s="37">
        <f>Estland!F16</f>
        <v>3.7050000000000001</v>
      </c>
      <c r="E16" s="37">
        <f>Tjeckien!F16</f>
        <v>3.1337179663755457</v>
      </c>
      <c r="F16" s="89" t="s">
        <v>13</v>
      </c>
    </row>
    <row r="17" spans="1:6" x14ac:dyDescent="0.25">
      <c r="A17" s="54" t="s">
        <v>16</v>
      </c>
      <c r="B17" s="82">
        <f>Sverige!D17</f>
        <v>36.065840000000001</v>
      </c>
      <c r="C17" s="58">
        <f>Polen!F17</f>
        <v>28.662184309890076</v>
      </c>
      <c r="D17" s="37">
        <f>Estland!F17</f>
        <v>32.532170781600001</v>
      </c>
      <c r="E17" s="37">
        <f>Tjeckien!F17</f>
        <v>30.574451547720642</v>
      </c>
      <c r="F17" s="89" t="s">
        <v>13</v>
      </c>
    </row>
    <row r="18" spans="1:6" x14ac:dyDescent="0.25">
      <c r="A18" s="54" t="s">
        <v>34</v>
      </c>
      <c r="B18" s="80">
        <f>Sverige!D18</f>
        <v>0</v>
      </c>
      <c r="C18" s="58">
        <f>Polen!F18</f>
        <v>3.1894285080000002</v>
      </c>
      <c r="D18" s="37">
        <f>Estland!F18</f>
        <v>0</v>
      </c>
      <c r="E18" s="37">
        <f>Tjeckien!F18</f>
        <v>4.2947933023439999</v>
      </c>
      <c r="F18" s="89" t="s">
        <v>13</v>
      </c>
    </row>
    <row r="19" spans="1:6" x14ac:dyDescent="0.25">
      <c r="A19" s="43"/>
      <c r="B19" s="81"/>
      <c r="C19" s="38"/>
      <c r="D19" s="38"/>
      <c r="E19" s="10"/>
      <c r="F19" s="89"/>
    </row>
    <row r="20" spans="1:6" ht="15.75" x14ac:dyDescent="0.25">
      <c r="A20" s="55" t="s">
        <v>4</v>
      </c>
      <c r="B20" s="50">
        <f>Sverige!D20</f>
        <v>625098</v>
      </c>
      <c r="C20" s="30">
        <f>Polen!F20</f>
        <v>359835.88059900003</v>
      </c>
      <c r="D20" s="9">
        <f>Estland!F20</f>
        <v>244240.60304479679</v>
      </c>
      <c r="E20" s="9">
        <f>Tjeckien!F20</f>
        <v>216706.29973612202</v>
      </c>
      <c r="F20" s="88" t="s">
        <v>8</v>
      </c>
    </row>
    <row r="21" spans="1:6" x14ac:dyDescent="0.25">
      <c r="A21" s="54" t="s">
        <v>1</v>
      </c>
      <c r="B21" s="80">
        <f>Sverige!D21</f>
        <v>456748.5</v>
      </c>
      <c r="C21" s="36">
        <f>Polen!F21</f>
        <v>310969.27953</v>
      </c>
      <c r="D21" s="12">
        <f>Estland!F21</f>
        <v>163371.64083264</v>
      </c>
      <c r="E21" s="12">
        <f>Tjeckien!F21</f>
        <v>155903.8127598</v>
      </c>
      <c r="F21" s="89" t="s">
        <v>8</v>
      </c>
    </row>
    <row r="22" spans="1:6" x14ac:dyDescent="0.25">
      <c r="A22" s="56" t="s">
        <v>2</v>
      </c>
      <c r="B22" s="83">
        <f>Sverige!D22</f>
        <v>168349.5</v>
      </c>
      <c r="C22" s="62">
        <f>Polen!F22</f>
        <v>48866.601069000004</v>
      </c>
      <c r="D22" s="59">
        <f>Estland!F22</f>
        <v>80868.96221215681</v>
      </c>
      <c r="E22" s="59">
        <f>Tjeckien!F22</f>
        <v>60802.486976322005</v>
      </c>
      <c r="F22" s="90" t="s">
        <v>8</v>
      </c>
    </row>
    <row r="23" spans="1:6" x14ac:dyDescent="0.25">
      <c r="A23" s="7"/>
      <c r="B23" s="10"/>
      <c r="C23" s="7"/>
    </row>
    <row r="24" spans="1:6" x14ac:dyDescent="0.25">
      <c r="A24" s="7"/>
      <c r="B24" s="7"/>
      <c r="C24" s="7"/>
    </row>
    <row r="25" spans="1:6" ht="15.75" x14ac:dyDescent="0.25">
      <c r="A25" s="94" t="s">
        <v>54</v>
      </c>
      <c r="B25" s="100" t="s">
        <v>26</v>
      </c>
      <c r="C25" s="101" t="s">
        <v>42</v>
      </c>
      <c r="D25" s="102" t="s">
        <v>43</v>
      </c>
      <c r="E25" s="101" t="s">
        <v>44</v>
      </c>
      <c r="F25" s="103"/>
    </row>
    <row r="26" spans="1:6" x14ac:dyDescent="0.25">
      <c r="A26" s="48" t="s">
        <v>3</v>
      </c>
      <c r="B26" s="74">
        <f>Sverige!B26</f>
        <v>813686.92</v>
      </c>
      <c r="C26" s="9">
        <f>Polen!B26</f>
        <v>655014.67176061089</v>
      </c>
      <c r="D26" s="9">
        <f>Estland!B26</f>
        <v>668182.81883566</v>
      </c>
      <c r="E26" s="9">
        <f>Tjeckien!B26</f>
        <v>715627.01166756894</v>
      </c>
      <c r="F26" s="107" t="s">
        <v>8</v>
      </c>
    </row>
    <row r="27" spans="1:6" x14ac:dyDescent="0.25">
      <c r="A27" s="14" t="s">
        <v>37</v>
      </c>
      <c r="B27" s="105">
        <f>Sverige!B27</f>
        <v>141267.25</v>
      </c>
      <c r="C27" s="12">
        <f>Polen!B27</f>
        <v>118556.501005</v>
      </c>
      <c r="D27" s="12">
        <f>Estland!B27</f>
        <v>99913.964999860007</v>
      </c>
      <c r="E27" s="12">
        <f>Tjeckien!B27</f>
        <v>124402.86137884652</v>
      </c>
      <c r="F27" s="107" t="s">
        <v>8</v>
      </c>
    </row>
    <row r="28" spans="1:6" x14ac:dyDescent="0.25">
      <c r="A28" s="14" t="s">
        <v>38</v>
      </c>
      <c r="B28" s="105">
        <f>Sverige!B28</f>
        <v>672419.67</v>
      </c>
      <c r="C28" s="12">
        <f>Polen!B28</f>
        <v>536458.17075561092</v>
      </c>
      <c r="D28" s="12">
        <f>Estland!B28</f>
        <v>568268.85383579996</v>
      </c>
      <c r="E28" s="12">
        <f>Tjeckien!B28</f>
        <v>591224.15028872248</v>
      </c>
      <c r="F28" s="107" t="s">
        <v>8</v>
      </c>
    </row>
    <row r="29" spans="1:6" x14ac:dyDescent="0.25">
      <c r="A29" s="48" t="s">
        <v>4</v>
      </c>
      <c r="B29" s="74">
        <f>Sverige!B29</f>
        <v>625098</v>
      </c>
      <c r="C29" s="9">
        <f>Polen!B29</f>
        <v>359835.88059900003</v>
      </c>
      <c r="D29" s="9">
        <f>Estland!B29</f>
        <v>244240.60304479679</v>
      </c>
      <c r="E29" s="9">
        <f>Tjeckien!B29</f>
        <v>216706.29973612202</v>
      </c>
      <c r="F29" s="107" t="s">
        <v>8</v>
      </c>
    </row>
    <row r="30" spans="1:6" ht="15.75" x14ac:dyDescent="0.25">
      <c r="A30" s="94" t="s">
        <v>36</v>
      </c>
      <c r="B30" s="95">
        <f>Sverige!B30</f>
        <v>1438784.92</v>
      </c>
      <c r="C30" s="96">
        <f>Polen!B30</f>
        <v>1014850.5523596109</v>
      </c>
      <c r="D30" s="96">
        <f>Estland!B30</f>
        <v>912423.42188045685</v>
      </c>
      <c r="E30" s="96">
        <f>Tjeckien!B30</f>
        <v>932333.31140369095</v>
      </c>
      <c r="F30" s="108" t="s">
        <v>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Status xmlns="http://schemas.microsoft.com/sharepoint/v3">Under arbete</PVSWSDocStatus>
    <PVSWSDocEstablishBy xmlns="http://schemas.microsoft.com/sharepoint/v3" xsi:nil="true"/>
    <PVSWSArchive xmlns="http://schemas.microsoft.com/sharepoint/v3">false</PVSWSArchive>
    <PVSWSDocAssignNr xmlns="http://schemas.microsoft.com/sharepoint/v3">10202541</PVSWSDocAssignNr>
    <PVSWSDocManager xmlns="http://schemas.microsoft.com/sharepoint/v3" xsi:nil="true"/>
    <PVSWSDocType xmlns="http://schemas.microsoft.com/sharepoint/v3" xsi:nil="true"/>
    <PVSWSDocRevDate xmlns="http://schemas.microsoft.com/sharepoint/v3" xsi:nil="true"/>
    <PVSWSDocLocation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Signature xmlns="http://schemas.microsoft.com/sharepoint/v3" xsi:nil="true"/>
    <PVSWSDocAssign1 xmlns="http://schemas.microsoft.com/sharepoint/v3" xsi:nil="true"/>
    <PVSWSDocDate xmlns="http://schemas.microsoft.com/sharepoint/v3">2014-09-18T09:01:40+00:00</PVSWSDocDate>
    <PVSWSDocName xmlns="http://schemas.microsoft.com/sharepoint/v3" xsi:nil="true"/>
    <PVSWSDocAssignment xmlns="http://schemas.microsoft.com/sharepoint/v3">Kartläggning av åkerinäringens kostnadsbild</PVSWSDocAssignment>
    <PVSWSDocAssign4 xmlns="http://schemas.microsoft.com/sharepoint/v3" xsi:nil="true"/>
    <PVSWSDocRevBy xmlns="http://schemas.microsoft.com/sharepoint/v3" xsi:nil="true"/>
    <PVSWSFolder xmlns="http://schemas.microsoft.com/sharepoint/v3">/1_Dokument</PVSWSFol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553E919E8CB15342A5FAB75A7E9EB216" ma:contentTypeVersion="0" ma:contentTypeDescription="" ma:contentTypeScope="" ma:versionID="b2120025038780feed43f55f8b32493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79272b852bb9d0ac8495fb3d610c6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Archive" minOccurs="0"/>
                <xsd:element ref="ns1:PVSWSFolder" minOccurs="0"/>
                <xsd:element ref="ns1:PVSWSDocAssignNr" minOccurs="0"/>
                <xsd:element ref="ns1:PVSWSDocAssignment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Type" minOccurs="0"/>
                <xsd:element ref="ns1:PVSWSDocName" minOccurs="0"/>
                <xsd:element ref="ns1:PVSWSDocDate" minOccurs="0"/>
                <xsd:element ref="ns1:PVSWSDocRevDate" minOccurs="0"/>
                <xsd:element ref="ns1:PVSWSDocStatus" minOccurs="0"/>
                <xsd:element ref="ns1:PVSWSDocManager" minOccurs="0"/>
                <xsd:element ref="ns1:PVSWSDocEstablishBy" minOccurs="0"/>
                <xsd:element ref="ns1:PVSWSDocRevBy" minOccurs="0"/>
                <xsd:element ref="ns1:PVSWSDocApproveBy" minOccurs="0"/>
                <xsd:element ref="ns1:PVSWSDocSignature" minOccurs="0"/>
                <xsd:element ref="ns1:PVSWSDoc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Archive" ma:index="8" nillable="true" ma:displayName="Arkivpliktig" ma:default="FALSE" ma:description="" ma:internalName="PVSWSArchive">
      <xsd:simpleType>
        <xsd:restriction base="dms:Boolean"/>
      </xsd:simpleType>
    </xsd:element>
    <xsd:element name="PVSWSFolder" ma:index="9" nillable="true" ma:displayName="Mapp" ma:description="" ma:internalName="PVSWSFolder" ma:readOnly="true">
      <xsd:simpleType>
        <xsd:restriction base="dms:Text"/>
      </xsd:simpleType>
    </xsd:element>
    <xsd:element name="PVSWSDocAssignNr" ma:index="10" nillable="true" ma:displayName="Uppdragsnummer" ma:default="10202541" ma:description="" ma:internalName="PVSWSDocAssignNr" ma:readOnly="false">
      <xsd:simpleType>
        <xsd:restriction base="dms:Text"/>
      </xsd:simpleType>
    </xsd:element>
    <xsd:element name="PVSWSDocAssignment" ma:index="11" nillable="true" ma:displayName="Uppdragsnamn" ma:default="Kartläggning av åkerinäringens kostnadsbild" ma:description="" ma:internalName="PVSWSDocAssignment" ma:readOnly="false">
      <xsd:simpleType>
        <xsd:restriction base="dms:Text"/>
      </xsd:simpleType>
    </xsd:element>
    <xsd:element name="PVSWSDocAssign1" ma:index="12" nillable="true" ma:displayName="Uppdragsbenämning rad 1" ma:description="" ma:internalName="PVSWSDocAssign1" ma:readOnly="false">
      <xsd:simpleType>
        <xsd:restriction base="dms:Text"/>
      </xsd:simpleType>
    </xsd:element>
    <xsd:element name="PVSWSDocAssign2" ma:index="13" nillable="true" ma:displayName="Uppdragsbenämning rad 2" ma:description="" ma:internalName="PVSWSDocAssign2" ma:readOnly="false">
      <xsd:simpleType>
        <xsd:restriction base="dms:Text"/>
      </xsd:simpleType>
    </xsd:element>
    <xsd:element name="PVSWSDocAssign3" ma:index="14" nillable="true" ma:displayName="Uppdragsbenämning rad 3" ma:description="" ma:internalName="PVSWSDocAssign3" ma:readOnly="false">
      <xsd:simpleType>
        <xsd:restriction base="dms:Text"/>
      </xsd:simpleType>
    </xsd:element>
    <xsd:element name="PVSWSDocAssign4" ma:index="15" nillable="true" ma:displayName="Uppdragsbenämning rad 4" ma:description="" ma:internalName="PVSWSDocAssign4" ma:readOnly="false">
      <xsd:simpleType>
        <xsd:restriction base="dms:Text"/>
      </xsd:simpleType>
    </xsd:element>
    <xsd:element name="PVSWSDocType" ma:index="16" nillable="true" ma:displayName="Dokumenttyp" ma:default="" ma:description="" ma:format="Dropdown" ma:internalName="PVSWSDocType">
      <xsd:simpleType>
        <xsd:restriction base="dms:Choice">
          <xsd:enumeration value="Förstudie"/>
          <xsd:enumeration value="Programhandling"/>
          <xsd:enumeration value="Systemhandling"/>
          <xsd:enumeration value="Förfrågningsunderlag"/>
          <xsd:enumeration value="Bygghandling"/>
          <xsd:enumeration value="Relationshandling"/>
          <xsd:enumeration value="Utredning"/>
          <xsd:enumeration value="Rapport"/>
        </xsd:restriction>
      </xsd:simpleType>
    </xsd:element>
    <xsd:element name="PVSWSDocName" ma:index="17" nillable="true" ma:displayName="Dokumentnamn" ma:description="" ma:internalName="PVSWSDocName" ma:readOnly="false">
      <xsd:simpleType>
        <xsd:restriction base="dms:Text"/>
      </xsd:simpleType>
    </xsd:element>
    <xsd:element name="PVSWSDocDate" ma:index="18" nillable="true" ma:displayName="Datum" ma:default="[today]" ma:description="" ma:format="DateOnly" ma:internalName="PVSWSDocDate">
      <xsd:simpleType>
        <xsd:restriction base="dms:DateTime"/>
      </xsd:simpleType>
    </xsd:element>
    <xsd:element name="PVSWSDocRevDate" ma:index="19" nillable="true" ma:displayName="Revideringsdatum" ma:description="" ma:format="DateOnly" ma:internalName="PVSWSDocRevDate">
      <xsd:simpleType>
        <xsd:restriction base="dms:DateTime"/>
      </xsd:simpleType>
    </xsd:element>
    <xsd:element name="PVSWSDocStatus" ma:index="20" nillable="true" ma:displayName="Status" ma:default="Under arbete" ma:description="" ma:format="Dropdown" ma:internalName="PVSWSDocStatus">
      <xsd:simpleType>
        <xsd:restriction base="dms:Choice">
          <xsd:enumeration value="Under arbete"/>
          <xsd:enumeration value="Preliminär"/>
          <xsd:enumeration value="För granskning"/>
          <xsd:enumeration value="För godkännande"/>
          <xsd:enumeration value="Godkänd"/>
        </xsd:restriction>
      </xsd:simpleType>
    </xsd:element>
    <xsd:element name="PVSWSDocManager" ma:index="21" nillable="true" ma:displayName="Handläggare" ma:description="" ma:internalName="PVSWSDocManager" ma:readOnly="false">
      <xsd:simpleType>
        <xsd:restriction base="dms:Text"/>
      </xsd:simpleType>
    </xsd:element>
    <xsd:element name="PVSWSDocEstablishBy" ma:index="22" nillable="true" ma:displayName="Upprättad av" ma:description="" ma:internalName="PVSWSDocEstablishBy" ma:readOnly="false">
      <xsd:simpleType>
        <xsd:restriction base="dms:Text"/>
      </xsd:simpleType>
    </xsd:element>
    <xsd:element name="PVSWSDocRevBy" ma:index="23" nillable="true" ma:displayName="Granskad av" ma:description="" ma:internalName="PVSWSDocRevBy" ma:readOnly="false">
      <xsd:simpleType>
        <xsd:restriction base="dms:Text"/>
      </xsd:simpleType>
    </xsd:element>
    <xsd:element name="PVSWSDocApproveBy" ma:index="24" nillable="true" ma:displayName="Godkänd av" ma:description="" ma:internalName="PVSWSDocApproveBy" ma:readOnly="false">
      <xsd:simpleType>
        <xsd:restriction base="dms:Text"/>
      </xsd:simpleType>
    </xsd:element>
    <xsd:element name="PVSWSDocSignature" ma:index="25" nillable="true" ma:displayName="Signatur" ma:description="" ma:internalName="PVSWSDocSignature" ma:readOnly="false">
      <xsd:simpleType>
        <xsd:restriction base="dms:Text"/>
      </xsd:simpleType>
    </xsd:element>
    <xsd:element name="PVSWSDocLocation" ma:index="26" nillable="true" ma:displayName="Fack" ma:description="" ma:internalName="PVSWSDocLocation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46E19-A681-46CD-B866-004C0597240F}">
  <ds:schemaRefs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2345B9-2869-4336-B4B5-52312C50F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43EA60-143D-42FE-8005-CEC91085A2F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A08D3C5-FD10-48A4-AB0C-6EDA4AC20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Beräkningsunderlag</vt:lpstr>
      <vt:lpstr>Sverige</vt:lpstr>
      <vt:lpstr>Polen</vt:lpstr>
      <vt:lpstr>Estland</vt:lpstr>
      <vt:lpstr>Tjeckien</vt:lpstr>
      <vt:lpstr>Resultatjämförelse</vt:lpstr>
    </vt:vector>
  </TitlesOfParts>
  <Company>WSP Group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Billing Clason, Helena</dc:creator>
  <cp:lastModifiedBy>Billing Clason, Helena</cp:lastModifiedBy>
  <dcterms:created xsi:type="dcterms:W3CDTF">2014-09-18T08:21:52Z</dcterms:created>
  <dcterms:modified xsi:type="dcterms:W3CDTF">2014-10-20T13:39:11Z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0x010100F3AFF667EC9D4557811DA86F1C6D7EFB00553E919E8CB15342A5FAB75A7E9EB216</vt:lpwstr>
  </property>
</Properties>
</file>